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6ddf2e94d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6597e2d6d84443b"/>
    <x:sheet xmlns:r="http://schemas.openxmlformats.org/officeDocument/2006/relationships" name="Inputs" sheetId="2" r:id="R82a6770e63e94851"/>
    <x:sheet xmlns:r="http://schemas.openxmlformats.org/officeDocument/2006/relationships" name="Opening budget" sheetId="3" r:id="R7e72210520944616"/>
    <x:sheet xmlns:r="http://schemas.openxmlformats.org/officeDocument/2006/relationships" name="Monthly" sheetId="4" r:id="R8fe0b3e76e214a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;(#,##0);&quot;-&quot;"/>
    <x:numFmt numFmtId="201" formatCode="mmm-yy"/>
    <x:numFmt numFmtId="202" formatCode="0.0%;(0.0%);&quot;-&quot;"/>
    <x:numFmt numFmtId="203" formatCode="0.00x"/>
    <x:numFmt numFmtId="204" formatCode="mmm"/>
    <x:numFmt numFmtId="205" formatCode="0.00"/>
    <x:numFmt numFmtId="206" formatCode="#,##0"/>
    <x:numFmt numFmtId="207" formatCode="&quot;C$&quot;#,##0"/>
    <x:numFmt numFmtId="208" formatCode="&quot;C$&quot;0.00"/>
  </x:numFmts>
  <x:fonts count="19">
    <x:font>
      <x:sz val="11"/>
      <x:name val="Carlito"/>
    </x:font>
    <x:font>
      <x:sz val="10"/>
      <x:name val="Arial"/>
    </x:font>
    <x:font>
      <x:b/>
      <x:sz val="15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9"/>
      <x:name val="Arial"/>
    </x:font>
    <x:font>
      <x:sz val="9"/>
      <x:name val="Carlito"/>
    </x:font>
    <x:font>
      <x:sz val="10"/>
      <x:color rgb="FF008000"/>
      <x:name val="Arial"/>
    </x:font>
    <x:font>
      <x:sz val="10"/>
      <x:color rgb="FFFFFFFF"/>
      <x:name val="Arial"/>
    </x:font>
    <x:font>
      <x:sz val="11"/>
      <x:color rgb="FF000000"/>
      <x:name val="Carlito"/>
    </x:font>
    <x:font>
      <x:sz val="11"/>
      <x:color rgb="FF008000"/>
      <x:name val="Carlito"/>
    </x:font>
    <x:font>
      <x:sz val="11"/>
      <x:color rgb="FFFFFFFF"/>
      <x:name val="Carlito"/>
    </x:font>
    <x:font>
      <x:b/>
      <x:sz val="10"/>
      <x:name val="Arial"/>
    </x:font>
    <x:font>
      <x:b/>
      <x:sz val="10"/>
      <x:color rgb="FF000000"/>
      <x:name val="Arial"/>
    </x:font>
    <x:font>
      <x:b/>
      <x:sz val="11"/>
      <x:color rgb="FF000000"/>
      <x:name val="Carlito"/>
    </x:font>
    <x:font>
      <x:b/>
      <x:sz val="10"/>
      <x:color rgb="FF008000"/>
      <x:name val="Arial"/>
    </x:font>
    <x:font>
      <x:b/>
      <x:sz val="11"/>
      <x:color rgb="FF008000"/>
      <x:name val="Carlito"/>
    </x:font>
    <x:font>
      <x:sz val="10"/>
      <x:color rgb="FF333333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2F2F2"/>
      </x:patternFill>
    </x:fill>
    <x:fill>
      <x:patternFill patternType="solid">
        <x:fgColor rgb="FF343434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0B0B0"/>
      </x:top>
      <x:bottom/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20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200" fontId="0" fillId="0" borderId="0" xfId="0" applyNumberFormat="1" applyFont="1" applyFill="1" applyBorder="1"/>
    <x:xf numFmtId="200" fontId="9" fillId="0" borderId="0" xfId="0" applyNumberFormat="1" applyFont="1" applyFill="1" applyBorder="1"/>
    <x:xf numFmtId="200" fontId="10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/>
    <x:xf numFmtId="202" fontId="7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/>
    <x:xf numFmtId="202" fontId="4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/>
    <x:xf numFmtId="203" fontId="7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/>
    <x:xf numFmtId="205" fontId="7" fillId="0" borderId="0" xfId="0" applyNumberFormat="1" applyFont="1" applyFill="1" applyBorder="1" applyAlignment="1">
      <x:alignment vertical="center"/>
    </x:xf>
    <x:xf numFmtId="205" fontId="10" fillId="0" borderId="0" xfId="0" applyNumberFormat="1" applyFont="1" applyFill="1" applyBorder="1"/>
    <x:xf numFmtId="200" fontId="0" fillId="4" borderId="0" xfId="0" applyNumberFormat="1" applyFont="1" applyFill="1" applyBorder="1"/>
    <x:xf numFmtId="200" fontId="4" fillId="4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/>
    <x:xf numFmtId="201" fontId="7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9" fillId="4" borderId="0" xfId="0" applyNumberFormat="1" applyFont="1" applyFill="1" applyBorder="1"/>
    <x:xf numFmtId="200" fontId="11" fillId="4" borderId="0" xfId="0" applyNumberFormat="1" applyFont="1" applyFill="1" applyBorder="1"/>
    <x:xf numFmtId="201" fontId="8" fillId="4" borderId="0" xfId="0" applyNumberFormat="1" applyFont="1" applyFill="1" applyBorder="1" applyAlignment="1">
      <x:alignment vertical="center"/>
    </x:xf>
    <x:xf numFmtId="201" fontId="11" fillId="4" borderId="0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0" fontId="12" fillId="0" borderId="1" xfId="0" applyNumberFormat="1" applyFont="1" applyFill="1" applyBorder="1" applyAlignment="1">
      <x:alignment vertical="center"/>
    </x:xf>
    <x:xf numFmtId="200" fontId="13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2" fillId="0" borderId="1" xfId="0" applyNumberFormat="1" applyFont="1" applyFill="1" applyBorder="1" applyAlignment="1">
      <x:alignment vertical="center"/>
    </x:xf>
    <x:xf numFmtId="200" fontId="9" fillId="0" borderId="1" xfId="0" applyNumberFormat="1" applyFont="1" applyFill="1" applyBorder="1"/>
    <x:xf numFmtId="200" fontId="14" fillId="0" borderId="1" xfId="0" applyNumberFormat="1" applyFont="1" applyFill="1" applyBorder="1"/>
    <x:xf numFmtId="200" fontId="7" fillId="0" borderId="1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/>
    <x:xf numFmtId="200" fontId="15" fillId="0" borderId="1" xfId="0" applyNumberFormat="1" applyFont="1" applyFill="1" applyBorder="1" applyAlignment="1">
      <x:alignment vertical="center"/>
    </x:xf>
    <x:xf numFmtId="200" fontId="16" fillId="0" borderId="1" xfId="0" applyNumberFormat="1" applyFont="1" applyFill="1" applyBorder="1"/>
    <x:xf numFmtId="0" fontId="17" fillId="0" borderId="0" xfId="0" applyNumberFormat="1" applyFont="1" applyFill="1" applyBorder="1" applyAlignment="1">
      <x:alignment vertical="center"/>
    </x:xf>
    <x:xf numFmtId="200" fontId="17" fillId="0" borderId="0" xfId="0" applyNumberFormat="1" applyFont="1" applyFill="1" applyBorder="1" applyAlignment="1">
      <x:alignment vertical="center"/>
    </x:xf>
    <x:xf numFmtId="0" fontId="18" fillId="0" borderId="0" xfId="0" applyNumberFormat="1" applyFont="1" applyFill="1" applyBorder="1"/>
    <x:xf numFmtId="206" fontId="3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6" fontId="4" fillId="0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8" fontId="4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0006"/>
      </x:font>
      <x:fill>
        <x:patternFill>
          <x:bgColor rgb="FFFCE4D6"/>
        </x:patternFill>
      </x:fill>
    </x:dxf>
    <x:dxf>
      <x:font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4506cebd54903" /><Relationship Type="http://schemas.openxmlformats.org/officeDocument/2006/relationships/theme" Target="/xl/theme/theme1.xml" Id="Rdd8de399b1b944fc" /><Relationship Type="http://schemas.openxmlformats.org/officeDocument/2006/relationships/sharedStrings" Target="/xl/sharedStrings.xml" Id="R3c51468d4e9a410b" /><Relationship Type="http://schemas.openxmlformats.org/officeDocument/2006/relationships/worksheet" Target="/xl/worksheets/sheet1.xml" Id="Rb6597e2d6d84443b" /><Relationship Type="http://schemas.openxmlformats.org/officeDocument/2006/relationships/worksheet" Target="/xl/worksheets/sheet2.xml" Id="R82a6770e63e94851" /><Relationship Type="http://schemas.openxmlformats.org/officeDocument/2006/relationships/worksheet" Target="/xl/worksheets/sheet3.xml" Id="R7e72210520944616" /><Relationship Type="http://schemas.openxmlformats.org/officeDocument/2006/relationships/worksheet" Target="/xl/worksheets/sheet4.xml" Id="R8fe0b3e76e214a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7db39a99c34b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Closing unrestricted cash CAD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B32235"/>
              </a:solidFill>
              <a:prstDash val="solid"/>
            </a:ln>
          </c:spPr>
          <c:marker>
            <c:symbol val="none"/>
          </c:marker>
          <c:cat>
            <c:strRef>
              <c:f>'Summary'!$C$37:$C$41</c:f>
              <c:strCache>
                <c:ptCount val="0"/>
              </c:strCache>
            </c:strRef>
          </c:cat>
          <c:val>
            <c:numRef>
              <c:f>'Summary'!$D$37:$D$41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34</xdr:row>
      <xdr:rowOff>0</xdr:rowOff>
    </xdr:from>
    <xdr:to>
      <xdr:col>12</xdr:col>
      <xdr:colOff>0</xdr:colOff>
      <xdr:row>49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7db39a99c34bd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736798d89a94b5f" /></Relationships>
</file>

<file path=xl/worksheets/sheet1.xml><?xml version="1.0" encoding="utf-8"?>
<x:worksheet xmlns:x="http://schemas.openxmlformats.org/spreadsheetml/2006/main">
  <x:sheetPr>
    <x:tabColor rgb="FFA51C30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16" hidden="0" customWidth="1"/>
  </x:cols>
  <x:sheetData>
    <x:row r="1" ht="21" customHeight="1">
      <x:c r="A1" s="2"/>
      <x:c r="B1" s="2"/>
      <x:c r="C1" s="2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1" customHeight="1">
      <x:c r="A2" s="2"/>
      <x:c r="B2" s="2"/>
      <x:c r="C2" s="4" t="str">
        <x:v>Poutine Padel Beings of Leisure operating model</x:v>
      </x:c>
      <x:c r="D2" s="5"/>
      <x:c r="E2" s="5"/>
      <x:c r="F2" s="5"/>
      <x:c r="G2" s="5"/>
      <x:c r="H2" s="5"/>
      <x:c r="I2" s="5"/>
      <x:c r="J2" s="5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3"/>
      <x:c r="E3" s="3"/>
      <x:c r="F3" s="3"/>
      <x:c r="G3" s="3"/>
      <x:c r="H3" s="3"/>
      <x:c r="I3" s="3"/>
      <x:c r="J3" s="3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"/>
      <x:c r="B4" s="2"/>
      <x:c r="C4" s="2" t="str">
        <x:v>Case selected</x:v>
      </x:c>
      <x:c r="D4" s="22" t="str">
        <x:f>'Inputs'!E4</x:f>
        <x:v>Base</x:v>
      </x:c>
      <x:c r="E4" s="3"/>
      <x:c r="F4" s="3"/>
      <x:c r="G4" s="3"/>
      <x:c r="H4" s="3"/>
      <x:c r="I4" s="3"/>
      <x:c r="J4" s="3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/>
      <x:c r="B5" s="2"/>
      <x:c r="C5" s="69" t="str">
        <x:v>Theoretical location: 245 Beaver Lake Court, units 150 and 160. Site not secured.</x:v>
      </x:c>
      <x:c r="D5" s="70"/>
      <x:c r="E5" s="70"/>
      <x:c r="F5" s="70"/>
      <x:c r="G5" s="70"/>
      <x:c r="H5" s="70"/>
      <x:c r="I5" s="70"/>
      <x:c r="J5" s="70"/>
      <x:c r="K5" s="69"/>
      <x:c r="L5" s="69"/>
      <x:c r="M5" s="69"/>
      <x:c r="N5" s="69"/>
      <x:c r="O5" s="2"/>
      <x:c r="P5" s="2"/>
      <x:c r="Q5" s="2"/>
      <x:c r="R5" s="2"/>
      <x:c r="S5" s="2"/>
      <x:c r="T5" s="2"/>
    </x:row>
    <x:row r="6" ht="21" customHeight="1">
      <x:c r="A6" s="2"/>
      <x:c r="B6" s="2"/>
      <x:c r="C6" s="2"/>
      <x:c r="D6" s="3"/>
      <x:c r="E6" s="3"/>
      <x:c r="F6" s="3"/>
      <x:c r="G6" s="3"/>
      <x:c r="H6" s="3"/>
      <x:c r="I6" s="3"/>
      <x:c r="J6" s="3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"/>
      <x:c r="B7" s="2"/>
      <x:c r="C7" s="2" t="str">
        <x:v>Forecast CAD</x:v>
      </x:c>
      <x:c r="D7" s="26" t="str">
        <x:v>Year 1</x:v>
      </x:c>
      <x:c r="E7" s="26" t="str">
        <x:v>Year 2</x:v>
      </x:c>
      <x:c r="F7" s="26" t="str">
        <x:v>Year 3</x:v>
      </x:c>
      <x:c r="G7" s="26" t="str">
        <x:v>Year 4</x:v>
      </x:c>
      <x:c r="H7" s="26" t="str">
        <x:v>Year 5</x:v>
      </x:c>
      <x:c r="I7" s="3"/>
      <x:c r="J7" s="3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1" customHeight="1">
      <x:c r="A8" s="2"/>
      <x:c r="B8" s="2"/>
      <x:c r="C8" s="2" t="str">
        <x:v>Net court revenue</x:v>
      </x:c>
      <x:c r="D8" s="8" t="n">
        <x:f>SUM('Monthly'!D25:O25)</x:f>
        <x:v>512032.9926530613</x:v>
      </x:c>
      <x:c r="E8" s="8" t="n">
        <x:f>SUM('Monthly'!P25:AA25)</x:f>
        <x:v>685613.5575510204</x:v>
      </x:c>
      <x:c r="F8" s="8" t="n">
        <x:f>SUM('Monthly'!AB25:AM25)</x:f>
        <x:v>798038.4478911564</x:v>
      </x:c>
      <x:c r="G8" s="8" t="n">
        <x:f>SUM('Monthly'!AN25:AY25)</x:f>
        <x:v>820713.5695238095</x:v>
      </x:c>
      <x:c r="H8" s="8" t="n">
        <x:f>SUM('Monthly'!AZ25:BK25)</x:f>
        <x:v>845542.8005442176</x:v>
      </x:c>
      <x:c r="I8" s="3"/>
      <x:c r="J8" s="3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1" customHeight="1">
      <x:c r="A9" s="2"/>
      <x:c r="B9" s="2"/>
      <x:c r="C9" s="59" t="str">
        <x:v>Operating profit EBITDA</x:v>
      </x:c>
      <x:c r="D9" s="60" t="n">
        <x:f>SUM('Monthly'!D28:O28)</x:f>
        <x:v>-81222.04661551016</x:v>
      </x:c>
      <x:c r="E9" s="60" t="n">
        <x:f>SUM('Monthly'!P28:AA28)</x:f>
        <x:v>69576.9504881633</x:v>
      </x:c>
      <x:c r="F9" s="60" t="n">
        <x:f>SUM('Monthly'!AB28:AM28)</x:f>
        <x:v>160627.2633825851</x:v>
      </x:c>
      <x:c r="G9" s="60" t="n">
        <x:f>SUM('Monthly'!AN28:AY28)</x:f>
        <x:v>164219.92948180955</x:v>
      </x:c>
      <x:c r="H9" s="60" t="n">
        <x:f>SUM('Monthly'!AZ28:BK28)</x:f>
        <x:v>169347.80484701484</x:v>
      </x:c>
      <x:c r="I9" s="3"/>
      <x:c r="J9" s="3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1" customHeight="1">
      <x:c r="A10" s="2"/>
      <x:c r="B10" s="2"/>
      <x:c r="C10" s="2" t="str">
        <x:v>Cash tax allowance</x:v>
      </x:c>
      <x:c r="D10" s="8" t="n">
        <x:f>SUM('Monthly'!D30:O30)</x:f>
        <x:v>627.2895088653064</x:v>
      </x:c>
      <x:c r="E10" s="8" t="n">
        <x:f>SUM('Monthly'!P30:AA30)</x:f>
        <x:v>21240.071853575515</x:v>
      </x:c>
      <x:c r="F10" s="8" t="n">
        <x:f>SUM('Monthly'!AB30:AM30)</x:f>
        <x:v>43369.361113297986</x:v>
      </x:c>
      <x:c r="G10" s="8" t="n">
        <x:f>SUM('Monthly'!AN30:AY30)</x:f>
        <x:v>44339.38096008859</x:v>
      </x:c>
      <x:c r="H10" s="8" t="n">
        <x:f>SUM('Monthly'!AZ30:BK30)</x:f>
        <x:v>45723.90730869402</x:v>
      </x:c>
      <x:c r="I10" s="3"/>
      <x:c r="J10" s="3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1" customHeight="1">
      <x:c r="A11" s="2"/>
      <x:c r="B11" s="2"/>
      <x:c r="C11" s="2" t="str">
        <x:v>Maintenance capex</x:v>
      </x:c>
      <x:c r="D11" s="8" t="n">
        <x:f>SUM('Monthly'!D31:O31)</x:f>
        <x:v>10240.659853061225</x:v>
      </x:c>
      <x:c r="E11" s="8" t="n">
        <x:f>SUM('Monthly'!P31:AA31)</x:f>
        <x:v>13712.271151020406</x:v>
      </x:c>
      <x:c r="F11" s="8" t="n">
        <x:f>SUM('Monthly'!AB31:AM31)</x:f>
        <x:v>15960.76895782313</x:v>
      </x:c>
      <x:c r="G11" s="8" t="n">
        <x:f>SUM('Monthly'!AN31:AY31)</x:f>
        <x:v>16414.27139047619</x:v>
      </x:c>
      <x:c r="H11" s="8" t="n">
        <x:f>SUM('Monthly'!AZ31:BK31)</x:f>
        <x:v>16910.856010884356</x:v>
      </x:c>
      <x:c r="I11" s="3"/>
      <x:c r="J11" s="3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1" customHeight="1">
      <x:c r="A12" s="2"/>
      <x:c r="B12" s="2"/>
      <x:c r="C12" s="59" t="str">
        <x:v>Operating free cash after allowances</x:v>
      </x:c>
      <x:c r="D12" s="60" t="n">
        <x:f>SUM('Monthly'!D32:O32)</x:f>
        <x:v>-92089.99597743667</x:v>
      </x:c>
      <x:c r="E12" s="60" t="n">
        <x:f>SUM('Monthly'!P32:AA32)</x:f>
        <x:v>34624.60748356738</x:v>
      </x:c>
      <x:c r="F12" s="60" t="n">
        <x:f>SUM('Monthly'!AB32:AM32)</x:f>
        <x:v>101297.13331146397</x:v>
      </x:c>
      <x:c r="G12" s="60" t="n">
        <x:f>SUM('Monthly'!AN32:AY32)</x:f>
        <x:v>103466.27713124477</x:v>
      </x:c>
      <x:c r="H12" s="60" t="n">
        <x:f>SUM('Monthly'!AZ32:BK32)</x:f>
        <x:v>106713.04152743648</x:v>
      </x:c>
      <x:c r="I12" s="3"/>
      <x:c r="J12" s="3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1" customHeight="1">
      <x:c r="A13" s="2"/>
      <x:c r="B13" s="2"/>
      <x:c r="C13" s="2" t="str">
        <x:v>Owner distributions</x:v>
      </x:c>
      <x:c r="D13" s="8" t="n">
        <x:f>SUM('Monthly'!D37:O37)</x:f>
        <x:v>0</x:v>
      </x:c>
      <x:c r="E13" s="8" t="n">
        <x:f>SUM('Monthly'!P37:AA37)</x:f>
        <x:v>0</x:v>
      </x:c>
      <x:c r="F13" s="8" t="n">
        <x:f>SUM('Monthly'!AB37:AM37)</x:f>
        <x:v>30811.221161804853</x:v>
      </x:c>
      <x:c r="G13" s="8" t="n">
        <x:f>SUM('Monthly'!AN37:AY37)</x:f>
        <x:v>51733.13856562239</x:v>
      </x:c>
      <x:c r="H13" s="8" t="n">
        <x:f>SUM('Monthly'!AZ37:BK37)</x:f>
        <x:v>53356.52076371824</x:v>
      </x:c>
      <x:c r="I13" s="3"/>
      <x:c r="J13" s="3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1" customHeight="1">
      <x:c r="A14" s="2"/>
      <x:c r="B14" s="2"/>
      <x:c r="C14" s="59" t="str">
        <x:v>Closing unrestricted cash</x:v>
      </x:c>
      <x:c r="D14" s="60" t="n">
        <x:f>'Monthly'!O38</x:f>
        <x:v>300910.00402256334</x:v>
      </x:c>
      <x:c r="E14" s="60" t="n">
        <x:f>'Monthly'!AA38</x:f>
        <x:v>335534.6115061308</x:v>
      </x:c>
      <x:c r="F14" s="60" t="n">
        <x:f>'Monthly'!AM38</x:f>
        <x:v>406020.5236557899</x:v>
      </x:c>
      <x:c r="G14" s="60" t="n">
        <x:f>'Monthly'!AY38</x:f>
        <x:v>457753.6622214123</x:v>
      </x:c>
      <x:c r="H14" s="60" t="n">
        <x:f>'Monthly'!BK38</x:f>
        <x:v>511110.18298513046</x:v>
      </x:c>
      <x:c r="I14" s="3"/>
      <x:c r="J14" s="3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1" customHeight="1">
      <x:c r="A15" s="2"/>
      <x:c r="B15" s="2"/>
      <x:c r="C15" s="2" t="str">
        <x:v>Paid court utilization</x:v>
      </x:c>
      <x:c r="D15" s="42" t="n">
        <x:f>SUM('Monthly'!D18:O18)/(SUM('Monthly'!D12:O12)+SUM('Monthly'!D13:O13))</x:f>
        <x:v>0.3875131407754359</x:v>
      </x:c>
      <x:c r="E15" s="42" t="n">
        <x:f>SUM('Monthly'!P18:AA18)/(SUM('Monthly'!P12:AA12)+SUM('Monthly'!P13:AA13))</x:f>
        <x:v>0.5228879321591651</x:v>
      </x:c>
      <x:c r="F15" s="42" t="n">
        <x:f>SUM('Monthly'!AB18:AM18)/(SUM('Monthly'!AB12:AM12)+SUM('Monthly'!AB13:AM13))</x:f>
        <x:v>0.6115305066318765</x:v>
      </x:c>
      <x:c r="G15" s="42" t="n">
        <x:f>SUM('Monthly'!AN18:AY18)/(SUM('Monthly'!AN12:AY12)+SUM('Monthly'!AN13:AY13))</x:f>
        <x:v>0.6298162209175908</x:v>
      </x:c>
      <x:c r="H15" s="42" t="n">
        <x:f>SUM('Monthly'!AZ18:BK18)/(SUM('Monthly'!AZ12:BK12)+SUM('Monthly'!AZ13:BK13))</x:f>
        <x:v>0.648003296036083</x:v>
      </x:c>
      <x:c r="I15" s="3"/>
      <x:c r="J15" s="3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21" customHeight="1">
      <x:c r="A16" s="2"/>
      <x:c r="B16" s="2"/>
      <x:c r="C16" s="2" t="str">
        <x:v>Paid player visits</x:v>
      </x:c>
      <x:c r="D16" s="8" t="n">
        <x:f>SUM('Monthly'!D20:O20)</x:f>
        <x:v>20423.492571428575</x:v>
      </x:c>
      <x:c r="E16" s="8" t="n">
        <x:f>SUM('Monthly'!P20:AA20)</x:f>
        <x:v>27482.98971428572</x:v>
      </x:c>
      <x:c r="F16" s="8" t="n">
        <x:f>SUM('Monthly'!AB20:AM20)</x:f>
        <x:v>32142.043428571425</x:v>
      </x:c>
      <x:c r="G16" s="8" t="n">
        <x:f>SUM('Monthly'!AN20:AY20)</x:f>
        <x:v>33103.14057142857</x:v>
      </x:c>
      <x:c r="H16" s="8" t="n">
        <x:f>SUM('Monthly'!AZ20:BK20)</x:f>
        <x:v>34152.36571428572</x:v>
      </x:c>
      <x:c r="I16" s="3"/>
      <x:c r="J16" s="3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21" customHeight="1">
      <x:c r="A17" s="2"/>
      <x:c r="B17" s="2"/>
      <x:c r="C17" s="2"/>
      <x:c r="D17" s="8"/>
      <x:c r="E17" s="8"/>
      <x:c r="F17" s="8"/>
      <x:c r="G17" s="8"/>
      <x:c r="H17" s="8"/>
      <x:c r="I17" s="3"/>
      <x:c r="J17" s="3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21" customHeight="1">
      <x:c r="A18" s="2"/>
      <x:c r="B18" s="2"/>
      <x:c r="C18" s="2" t="str">
        <x:v>Opening uses and deposits</x:v>
      </x:c>
      <x:c r="D18" s="8" t="n">
        <x:f>'Opening budget'!E24</x:f>
        <x:v>607000</x:v>
      </x:c>
      <x:c r="E18" s="8"/>
      <x:c r="F18" s="8"/>
      <x:c r="G18" s="8"/>
      <x:c r="H18" s="8"/>
      <x:c r="I18" s="3"/>
      <x:c r="J18" s="3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1" customHeight="1">
      <x:c r="A19" s="2"/>
      <x:c r="B19" s="2"/>
      <x:c r="C19" s="59" t="str">
        <x:v>Required capitalization</x:v>
      </x:c>
      <x:c r="D19" s="60" t="n">
        <x:f>'Opening budget'!E26</x:f>
        <x:v>957000</x:v>
      </x:c>
      <x:c r="E19" s="60"/>
      <x:c r="F19" s="60" t="str">
        <x:v>CAD. Planning estimates, not supplier quotations.</x:v>
      </x:c>
      <x:c r="G19" s="60"/>
      <x:c r="H19" s="60"/>
      <x:c r="I19" s="3"/>
      <x:c r="J19" s="3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1" customHeight="1">
      <x:c r="A20" s="2"/>
      <x:c r="B20" s="2"/>
      <x:c r="C20" s="2" t="str">
        <x:v>Illustrative funding</x:v>
      </x:c>
      <x:c r="D20" s="8" t="n">
        <x:f>'Inputs'!D18</x:f>
        <x:v>1000000</x:v>
      </x:c>
      <x:c r="E20" s="8"/>
      <x:c r="F20" s="8"/>
      <x:c r="G20" s="8"/>
      <x:c r="H20" s="8"/>
      <x:c r="I20" s="3"/>
      <x:c r="J20" s="3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1" customHeight="1">
      <x:c r="A21" s="2"/>
      <x:c r="B21" s="2"/>
      <x:c r="C21" s="2" t="str">
        <x:v>Opening unrestricted cash</x:v>
      </x:c>
      <x:c r="D21" s="8" t="n">
        <x:f>'Opening budget'!E29</x:f>
        <x:v>393000</x:v>
      </x:c>
      <x:c r="E21" s="8"/>
      <x:c r="F21" s="8" t="str">
        <x:v>No inherited pilot revenue, members or assets.</x:v>
      </x:c>
      <x:c r="G21" s="8"/>
      <x:c r="H21" s="8"/>
      <x:c r="I21" s="3"/>
      <x:c r="J21" s="3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1" customHeight="1">
      <x:c r="A22" s="2"/>
      <x:c r="B22" s="2"/>
      <x:c r="C22" s="59" t="str">
        <x:v>Lowest unrestricted cash</x:v>
      </x:c>
      <x:c r="D22" s="60" t="n">
        <x:f>MIN('Opening budget'!E29,'Monthly'!D38:BK38)</x:f>
        <x:v>300910.00402256334</x:v>
      </x:c>
      <x:c r="E22" s="60"/>
      <x:c r="F22" s="60"/>
      <x:c r="G22" s="60"/>
      <x:c r="H22" s="60"/>
      <x:c r="I22" s="3"/>
      <x:c r="J22" s="3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1" customHeight="1">
      <x:c r="A23" s="2"/>
      <x:c r="B23" s="2"/>
      <x:c r="C23" s="2" t="str">
        <x:v>Maximum cash floor shortfall</x:v>
      </x:c>
      <x:c r="D23" s="8" t="n">
        <x:f>MAX('Monthly'!D39:BK39)</x:f>
        <x:v>0</x:v>
      </x:c>
      <x:c r="E23" s="8"/>
      <x:c r="F23" s="8" t="str">
        <x:v>Cash floor is a target, not an automatic cash injection.</x:v>
      </x:c>
      <x:c r="G23" s="8"/>
      <x:c r="H23" s="8"/>
      <x:c r="I23" s="3"/>
      <x:c r="J23" s="3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1" customHeight="1">
      <x:c r="A24" s="2"/>
      <x:c r="B24" s="2"/>
      <x:c r="C24" s="2" t="str">
        <x:v>Maximum additional cash to stay solvent</x:v>
      </x:c>
      <x:c r="D24" s="8" t="n">
        <x:f>MAX('Monthly'!D40:BK40)</x:f>
        <x:v>0</x:v>
      </x:c>
      <x:c r="E24" s="8"/>
      <x:c r="F24" s="8" t="str">
        <x:v>Negative cash means the case is unfunded.</x:v>
      </x:c>
      <x:c r="G24" s="8"/>
      <x:c r="H24" s="8"/>
      <x:c r="I24" s="3"/>
      <x:c r="J24" s="3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1" customHeight="1">
      <x:c r="A25" s="2"/>
      <x:c r="B25" s="2"/>
      <x:c r="C25" s="2" t="str">
        <x:v>Cash needed above modeled funding to preserve floor</x:v>
      </x:c>
      <x:c r="D25" s="8" t="n">
        <x:f>MAX('Monthly'!D39:BK39)</x:f>
        <x:v>0</x:v>
      </x:c>
      <x:c r="E25" s="8"/>
      <x:c r="F25" s="8"/>
      <x:c r="G25" s="8"/>
      <x:c r="H25" s="8"/>
      <x:c r="I25" s="3"/>
      <x:c r="J25" s="3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1" customHeight="1">
      <x:c r="A26" s="2"/>
      <x:c r="B26" s="2"/>
      <x:c r="C26" s="2" t="str">
        <x:v>Funding still uncommitted</x:v>
      </x:c>
      <x:c r="D26" s="8" t="n">
        <x:f>'Opening budget'!E31</x:f>
        <x:v>957000</x:v>
      </x:c>
      <x:c r="E26" s="8"/>
      <x:c r="F26" s="8" t="str">
        <x:v>No funding has been confirmed in this plan.</x:v>
      </x:c>
      <x:c r="G26" s="8"/>
      <x:c r="H26" s="8"/>
      <x:c r="I26" s="3"/>
      <x:c r="J26" s="3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1" customHeight="1">
      <x:c r="A27" s="2"/>
      <x:c r="B27" s="2"/>
      <x:c r="C27" s="2"/>
      <x:c r="D27" s="8"/>
      <x:c r="E27" s="8"/>
      <x:c r="F27" s="8"/>
      <x:c r="G27" s="8"/>
      <x:c r="H27" s="8"/>
      <x:c r="I27" s="3"/>
      <x:c r="J27" s="3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1" customHeight="1">
      <x:c r="A28" s="2"/>
      <x:c r="B28" s="2"/>
      <x:c r="C28" s="2" t="str">
        <x:v>Fixed monthly expenses in Year 1</x:v>
      </x:c>
      <x:c r="D28" s="8" t="n">
        <x:f>'Opening budget'!E51</x:f>
        <x:v>48093.83333333333</x:v>
      </x:c>
      <x:c r="E28" s="8"/>
      <x:c r="F28" s="8"/>
      <x:c r="G28" s="8"/>
      <x:c r="H28" s="8"/>
      <x:c r="I28" s="3"/>
      <x:c r="J28" s="3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1" customHeight="1">
      <x:c r="A29" s="2"/>
      <x:c r="B29" s="2"/>
      <x:c r="C29" s="2" t="str">
        <x:v>Uniform utilization operating break even</x:v>
      </x:c>
      <x:c r="D29" s="42" t="n">
        <x:f>D28/('Inputs'!D8*('Inputs'!D10*'Inputs'!D50+'Inputs'!D11*'Inputs'!D55)*52/12*'Inputs'!D12/(1+'Inputs'!D13)*(1-'Inputs'!D14*(1+'Inputs'!D13)))</x:f>
        <x:v>0.476573608972182</x:v>
      </x:c>
      <x:c r="E29" s="8"/>
      <x:c r="F29" s="8" t="str">
        <x:v>Uniform peak and off peak utilization at current prices.</x:v>
      </x:c>
      <x:c r="G29" s="8"/>
      <x:c r="H29" s="8"/>
      <x:c r="I29" s="3"/>
      <x:c r="J29" s="3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1" customHeight="1">
      <x:c r="A30" s="2"/>
      <x:c r="B30" s="2"/>
      <x:c r="C30" s="2" t="str">
        <x:v>Uniform utilization cash break even</x:v>
      </x:c>
      <x:c r="D30" s="42" t="n">
        <x:f>D28*(1-'Inputs'!D15)/('Inputs'!D8*('Inputs'!D10*'Inputs'!D50+'Inputs'!D11*'Inputs'!D55)*52/12*'Inputs'!D12/(1+'Inputs'!D13)*((1-'Inputs'!D14*(1+'Inputs'!D13))*(1-'Inputs'!D15)-'Inputs'!D16))</x:f>
        <x:v>0.49044755774903764</x:v>
      </x:c>
      <x:c r="E30" s="8"/>
      <x:c r="F30" s="8" t="str">
        <x:v>Includes cash tax allowance and maintenance capex.</x:v>
      </x:c>
      <x:c r="G30" s="8"/>
      <x:c r="H30" s="8"/>
      <x:c r="I30" s="3"/>
      <x:c r="J30" s="3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1" customHeight="1">
      <x:c r="A31" s="2"/>
      <x:c r="B31" s="2"/>
      <x:c r="C31" s="59" t="str">
        <x:v>Five year owner distributions</x:v>
      </x:c>
      <x:c r="D31" s="60" t="n">
        <x:f>SUM(D13:H13)</x:f>
        <x:v>135900.88049114548</x:v>
      </x:c>
      <x:c r="E31" s="60"/>
      <x:c r="F31" s="60"/>
      <x:c r="G31" s="60"/>
      <x:c r="H31" s="60"/>
      <x:c r="I31" s="3"/>
      <x:c r="J31" s="3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1" customHeight="1">
      <x:c r="A32" s="2"/>
      <x:c r="B32" s="2"/>
      <x:c r="C32" s="2" t="str">
        <x:v>Five year operating free cash</x:v>
      </x:c>
      <x:c r="D32" s="8" t="n">
        <x:f>SUM(D12:H12)</x:f>
        <x:v>254011.06347627594</x:v>
      </x:c>
      <x:c r="E32" s="8"/>
      <x:c r="F32" s="8" t="str">
        <x:v>Excludes initial investment, sale value and personal taxes.</x:v>
      </x:c>
      <x:c r="G32" s="8"/>
      <x:c r="H32" s="8"/>
      <x:c r="I32" s="3"/>
      <x:c r="J32" s="3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1" customHeight="1">
      <x:c r="A33" s="2"/>
      <x:c r="B33" s="2"/>
      <x:c r="C33" s="2" t="str">
        <x:v>Five year distribution recovery of funding</x:v>
      </x:c>
      <x:c r="D33" s="42" t="n">
        <x:f>D31/'Inputs'!D18</x:f>
        <x:v>0.1359008804911455</x:v>
      </x:c>
      <x:c r="E33" s="8"/>
      <x:c r="F33" s="8"/>
      <x:c r="G33" s="8"/>
      <x:c r="H33" s="8"/>
      <x:c r="I33" s="3"/>
      <x:c r="J33" s="3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1" customHeight="1">
      <x:c r="A34" s="2"/>
      <x:c r="B34" s="2"/>
      <x:c r="C34" s="2"/>
      <x:c r="D34" s="3"/>
      <x:c r="E34" s="3"/>
      <x:c r="F34" s="3"/>
      <x:c r="G34" s="3"/>
      <x:c r="H34" s="3"/>
      <x:c r="I34" s="3"/>
      <x:c r="J34" s="3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1" customHeight="1">
      <x:c r="A35" s="2"/>
      <x:c r="B35" s="2"/>
      <x:c r="C35" s="2"/>
      <x:c r="D35" s="3"/>
      <x:c r="E35" s="3"/>
      <x:c r="F35" s="3"/>
      <x:c r="G35" s="3"/>
      <x:c r="H35" s="3"/>
      <x:c r="I35" s="3"/>
      <x:c r="J35" s="3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1" customHeight="1">
      <x:c r="A36" s="2"/>
      <x:c r="B36" s="2"/>
      <x:c r="C36" s="2" t="str">
        <x:v>Operating year</x:v>
      </x:c>
      <x:c r="D36" s="3" t="str">
        <x:v>Closing cash</x:v>
      </x:c>
      <x:c r="E36" s="3"/>
      <x:c r="F36" s="3"/>
      <x:c r="G36" s="3"/>
      <x:c r="H36" s="3"/>
      <x:c r="I36" s="3"/>
      <x:c r="J36" s="3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1" customHeight="1">
      <x:c r="A37" s="2"/>
      <x:c r="B37" s="2"/>
      <x:c r="C37" s="2" t="str">
        <x:v>Year 1</x:v>
      </x:c>
      <x:c r="D37" s="8" t="n">
        <x:f>D14</x:f>
        <x:v>300910.00402256334</x:v>
      </x:c>
      <x:c r="E37" s="3"/>
      <x:c r="F37" s="3"/>
      <x:c r="G37" s="3"/>
      <x:c r="H37" s="3"/>
      <x:c r="I37" s="3"/>
      <x:c r="J37" s="3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1" customHeight="1">
      <x:c r="A38" s="2"/>
      <x:c r="B38" s="2"/>
      <x:c r="C38" s="2" t="str">
        <x:v>Year 2</x:v>
      </x:c>
      <x:c r="D38" s="8" t="n">
        <x:f>E14</x:f>
        <x:v>335534.6115061308</x:v>
      </x:c>
      <x:c r="E38" s="3"/>
      <x:c r="F38" s="3"/>
      <x:c r="G38" s="3"/>
      <x:c r="H38" s="3"/>
      <x:c r="I38" s="3"/>
      <x:c r="J38" s="3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1" customHeight="1">
      <x:c r="A39" s="2"/>
      <x:c r="B39" s="2"/>
      <x:c r="C39" s="2" t="str">
        <x:v>Year 3</x:v>
      </x:c>
      <x:c r="D39" s="8" t="n">
        <x:f>F14</x:f>
        <x:v>406020.5236557899</x:v>
      </x:c>
      <x:c r="E39" s="3"/>
      <x:c r="F39" s="3"/>
      <x:c r="G39" s="3"/>
      <x:c r="H39" s="3"/>
      <x:c r="I39" s="3"/>
      <x:c r="J39" s="3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1" customHeight="1">
      <x:c r="A40" s="2"/>
      <x:c r="B40" s="2"/>
      <x:c r="C40" s="2" t="str">
        <x:v>Year 4</x:v>
      </x:c>
      <x:c r="D40" s="8" t="n">
        <x:f>G14</x:f>
        <x:v>457753.6622214123</x:v>
      </x:c>
      <x:c r="E40" s="3"/>
      <x:c r="F40" s="3"/>
      <x:c r="G40" s="3"/>
      <x:c r="H40" s="3"/>
      <x:c r="I40" s="3"/>
      <x:c r="J40" s="3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1" customHeight="1">
      <x:c r="A41" s="2"/>
      <x:c r="B41" s="2"/>
      <x:c r="C41" s="2" t="str">
        <x:v>Year 5</x:v>
      </x:c>
      <x:c r="D41" s="8" t="n">
        <x:f>H14</x:f>
        <x:v>511110.18298513046</x:v>
      </x:c>
      <x:c r="E41" s="3"/>
      <x:c r="F41" s="3"/>
      <x:c r="G41" s="3"/>
      <x:c r="H41" s="3"/>
      <x:c r="I41" s="3"/>
      <x:c r="J41" s="3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1" customHeight="1">
      <x:c r="A42" s="2"/>
      <x:c r="B42" s="2"/>
      <x:c r="C42" s="2"/>
      <x:c r="D42" s="3"/>
      <x:c r="E42" s="3"/>
      <x:c r="F42" s="3"/>
      <x:c r="G42" s="3"/>
      <x:c r="H42" s="3"/>
      <x:c r="I42" s="3"/>
      <x:c r="J42" s="3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1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1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1" customHeight="1">
      <x:c r="A45" s="2"/>
      <x:c r="B45" s="2"/>
      <x:c r="C45" s="2"/>
      <x:c r="D45" s="3"/>
      <x:c r="E45" s="3"/>
      <x:c r="F45" s="3"/>
      <x:c r="G45" s="3"/>
      <x:c r="H45" s="3"/>
      <x:c r="I45" s="3"/>
      <x:c r="J45" s="3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1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1" customHeight="1">
      <x:c r="A47" s="2"/>
      <x:c r="B47" s="2"/>
      <x:c r="C47" s="2"/>
      <x:c r="D47" s="3"/>
      <x:c r="E47" s="3"/>
      <x:c r="F47" s="3"/>
      <x:c r="G47" s="3"/>
      <x:c r="H47" s="3"/>
      <x:c r="I47" s="3"/>
      <x:c r="J47" s="3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1" customHeight="1">
      <x:c r="A48" s="2"/>
      <x:c r="B48" s="2"/>
      <x:c r="C48" s="2"/>
      <x:c r="D48" s="3"/>
      <x:c r="E48" s="3"/>
      <x:c r="F48" s="3"/>
      <x:c r="G48" s="3"/>
      <x:c r="H48" s="3"/>
      <x:c r="I48" s="3"/>
      <x:c r="J48" s="3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1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1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1" customHeight="1">
      <x:c r="A51" s="2"/>
      <x:c r="B51" s="2"/>
      <x:c r="C51" s="2"/>
      <x:c r="D51" s="3"/>
      <x:c r="E51" s="3"/>
      <x:c r="F51" s="3"/>
      <x:c r="G51" s="3"/>
      <x:c r="H51" s="3"/>
      <x:c r="I51" s="3"/>
      <x:c r="J51" s="3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1" customHeight="1">
      <x:c r="A52" s="2"/>
      <x:c r="B52" s="2"/>
      <x:c r="C52" s="2"/>
      <x:c r="D52" s="3"/>
      <x:c r="E52" s="3"/>
      <x:c r="F52" s="3"/>
      <x:c r="G52" s="3"/>
      <x:c r="H52" s="3"/>
      <x:c r="I52" s="3"/>
      <x:c r="J52" s="3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1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1" customHeight="1">
      <x:c r="A54" s="2"/>
      <x:c r="B54" s="2"/>
      <x:c r="C54" s="2"/>
      <x:c r="D54" s="3"/>
      <x:c r="E54" s="3"/>
      <x:c r="F54" s="3"/>
      <x:c r="G54" s="3"/>
      <x:c r="H54" s="3"/>
      <x:c r="I54" s="3"/>
      <x:c r="J54" s="3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1" customHeight="1">
      <x:c r="A55" s="2"/>
      <x:c r="B55" s="2"/>
      <x:c r="C55" s="2"/>
      <x:c r="D55" s="3"/>
      <x:c r="E55" s="3"/>
      <x:c r="F55" s="3"/>
      <x:c r="G55" s="3"/>
      <x:c r="H55" s="3"/>
      <x:c r="I55" s="3"/>
      <x:c r="J55" s="3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21" customHeight="1">
      <x:c r="A56" s="2"/>
      <x:c r="B56" s="2"/>
      <x:c r="C56" s="2"/>
      <x:c r="D56" s="3"/>
      <x:c r="E56" s="3"/>
      <x:c r="F56" s="3"/>
      <x:c r="G56" s="3"/>
      <x:c r="H56" s="3"/>
      <x:c r="I56" s="3"/>
      <x:c r="J56" s="3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21" customHeight="1">
      <x:c r="A57" s="2"/>
      <x:c r="B57" s="2"/>
      <x:c r="C57" s="2"/>
      <x:c r="D57" s="3"/>
      <x:c r="E57" s="3"/>
      <x:c r="F57" s="3"/>
      <x:c r="G57" s="3"/>
      <x:c r="H57" s="3"/>
      <x:c r="I57" s="3"/>
      <x:c r="J57" s="3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21" customHeight="1">
      <x:c r="A58" s="2"/>
      <x:c r="B58" s="2"/>
      <x:c r="C58" s="2"/>
      <x:c r="D58" s="3"/>
      <x:c r="E58" s="3"/>
      <x:c r="F58" s="3"/>
      <x:c r="G58" s="3"/>
      <x:c r="H58" s="3"/>
      <x:c r="I58" s="3"/>
      <x:c r="J58" s="3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21" customHeight="1">
      <x:c r="A60" s="2"/>
      <x:c r="B60" s="2"/>
      <x:c r="C60" s="2"/>
      <x:c r="D60" s="3"/>
      <x:c r="E60" s="3"/>
      <x:c r="F60" s="3"/>
      <x:c r="G60" s="3"/>
      <x:c r="H60" s="3"/>
      <x:c r="I60" s="3"/>
      <x:c r="J60" s="3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21" customHeight="1">
      <x:c r="A61" s="2"/>
      <x:c r="B61" s="2"/>
      <x:c r="C61" s="2"/>
      <x:c r="D61" s="3"/>
      <x:c r="E61" s="3"/>
      <x:c r="F61" s="3"/>
      <x:c r="G61" s="3"/>
      <x:c r="H61" s="3"/>
      <x:c r="I61" s="3"/>
      <x:c r="J61" s="3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21" customHeight="1">
      <x:c r="A62" s="2"/>
      <x:c r="B62" s="2"/>
      <x:c r="C62" s="2"/>
      <x:c r="D62" s="3"/>
      <x:c r="E62" s="3"/>
      <x:c r="F62" s="3"/>
      <x:c r="G62" s="3"/>
      <x:c r="H62" s="3"/>
      <x:c r="I62" s="3"/>
      <x:c r="J62" s="3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21" customHeight="1">
      <x:c r="A63" s="2"/>
      <x:c r="B63" s="2"/>
      <x:c r="C63" s="2"/>
      <x:c r="D63" s="3"/>
      <x:c r="E63" s="3"/>
      <x:c r="F63" s="3"/>
      <x:c r="G63" s="3"/>
      <x:c r="H63" s="3"/>
      <x:c r="I63" s="3"/>
      <x:c r="J63" s="3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21" customHeight="1">
      <x:c r="A64" s="2"/>
      <x:c r="B64" s="2"/>
      <x:c r="C64" s="2"/>
      <x:c r="D64" s="3"/>
      <x:c r="E64" s="3"/>
      <x:c r="F64" s="3"/>
      <x:c r="G64" s="3"/>
      <x:c r="H64" s="3"/>
      <x:c r="I64" s="3"/>
      <x:c r="J64" s="3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21" customHeight="1">
      <x:c r="A67" s="2"/>
      <x:c r="B67" s="2"/>
      <x:c r="C67" s="2"/>
      <x:c r="D67" s="3"/>
      <x:c r="E67" s="3"/>
      <x:c r="F67" s="3"/>
      <x:c r="G67" s="3"/>
      <x:c r="H67" s="3"/>
      <x:c r="I67" s="3"/>
      <x:c r="J67" s="3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21" customHeight="1">
      <x:c r="A68" s="2"/>
      <x:c r="B68" s="2"/>
      <x:c r="C68" s="2"/>
      <x:c r="D68" s="3"/>
      <x:c r="E68" s="3"/>
      <x:c r="F68" s="3"/>
      <x:c r="G68" s="3"/>
      <x:c r="H68" s="3"/>
      <x:c r="I68" s="3"/>
      <x:c r="J68" s="3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21" customHeight="1">
      <x:c r="A69" s="2"/>
      <x:c r="B69" s="2"/>
      <x:c r="C69" s="2"/>
      <x:c r="D69" s="3"/>
      <x:c r="E69" s="3"/>
      <x:c r="F69" s="3"/>
      <x:c r="G69" s="3"/>
      <x:c r="H69" s="3"/>
      <x:c r="I69" s="3"/>
      <x:c r="J69" s="3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21" customHeight="1">
      <x:c r="A70" s="2"/>
      <x:c r="B70" s="2"/>
      <x:c r="C70" s="2"/>
      <x:c r="D70" s="3"/>
      <x:c r="E70" s="3"/>
      <x:c r="F70" s="3"/>
      <x:c r="G70" s="3"/>
      <x:c r="H70" s="3"/>
      <x:c r="I70" s="3"/>
      <x:c r="J70" s="3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21" customHeight="1">
      <x:c r="A91" s="2"/>
      <x:c r="B91" s="2"/>
      <x:c r="C91" s="2"/>
      <x:c r="D91" s="3"/>
      <x:c r="E91" s="3"/>
      <x:c r="F91" s="3"/>
      <x:c r="G91" s="3"/>
      <x:c r="H91" s="3"/>
      <x:c r="I91" s="3"/>
      <x:c r="J91" s="3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21" customHeight="1">
      <x:c r="A92" s="2"/>
      <x:c r="B92" s="2"/>
      <x:c r="C92" s="2"/>
      <x:c r="D92" s="3"/>
      <x:c r="E92" s="3"/>
      <x:c r="F92" s="3"/>
      <x:c r="G92" s="3"/>
      <x:c r="H92" s="3"/>
      <x:c r="I92" s="3"/>
      <x:c r="J92" s="3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21" customHeight="1">
      <x:c r="A93" s="2"/>
      <x:c r="B93" s="2"/>
      <x:c r="C93" s="2"/>
      <x:c r="D93" s="3"/>
      <x:c r="E93" s="3"/>
      <x:c r="F93" s="3"/>
      <x:c r="G93" s="3"/>
      <x:c r="H93" s="3"/>
      <x:c r="I93" s="3"/>
      <x:c r="J93" s="3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21" customHeight="1">
      <x:c r="A94" s="2"/>
      <x:c r="B94" s="2"/>
      <x:c r="C94" s="2"/>
      <x:c r="D94" s="3"/>
      <x:c r="E94" s="3"/>
      <x:c r="F94" s="3"/>
      <x:c r="G94" s="3"/>
      <x:c r="H94" s="3"/>
      <x:c r="I94" s="3"/>
      <x:c r="J94" s="3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21" customHeight="1">
      <x:c r="A95" s="2"/>
      <x:c r="B95" s="2"/>
      <x:c r="C95" s="2"/>
      <x:c r="D95" s="3"/>
      <x:c r="E95" s="3"/>
      <x:c r="F95" s="3"/>
      <x:c r="G95" s="3"/>
      <x:c r="H95" s="3"/>
      <x:c r="I95" s="3"/>
      <x:c r="J95" s="3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21" customHeight="1">
      <x:c r="A96" s="2"/>
      <x:c r="B96" s="2"/>
      <x:c r="C96" s="2"/>
      <x:c r="D96" s="3"/>
      <x:c r="E96" s="3"/>
      <x:c r="F96" s="3"/>
      <x:c r="G96" s="3"/>
      <x:c r="H96" s="3"/>
      <x:c r="I96" s="3"/>
      <x:c r="J96" s="3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21" customHeight="1">
      <x:c r="A97" s="2"/>
      <x:c r="B97" s="2"/>
      <x:c r="C97" s="2"/>
      <x:c r="D97" s="3"/>
      <x:c r="E97" s="3"/>
      <x:c r="F97" s="3"/>
      <x:c r="G97" s="3"/>
      <x:c r="H97" s="3"/>
      <x:c r="I97" s="3"/>
      <x:c r="J97" s="3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21" customHeight="1">
      <x:c r="A98" s="2"/>
      <x:c r="B98" s="2"/>
      <x:c r="C98" s="2"/>
      <x:c r="D98" s="3"/>
      <x:c r="E98" s="3"/>
      <x:c r="F98" s="3"/>
      <x:c r="G98" s="3"/>
      <x:c r="H98" s="3"/>
      <x:c r="I98" s="3"/>
      <x:c r="J98" s="3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21" customHeight="1">
      <x:c r="A99" s="2"/>
      <x:c r="B99" s="2"/>
      <x:c r="C99" s="2"/>
      <x:c r="D99" s="3"/>
      <x:c r="E99" s="3"/>
      <x:c r="F99" s="3"/>
      <x:c r="G99" s="3"/>
      <x:c r="H99" s="3"/>
      <x:c r="I99" s="3"/>
      <x:c r="J99" s="3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21" customHeight="1">
      <x:c r="A100" s="2"/>
      <x:c r="B100" s="2"/>
      <x:c r="C100" s="2"/>
      <x:c r="D100" s="3"/>
      <x:c r="E100" s="3"/>
      <x:c r="F100" s="3"/>
      <x:c r="G100" s="3"/>
      <x:c r="H100" s="3"/>
      <x:c r="I100" s="3"/>
      <x:c r="J100" s="3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21" customHeight="1">
      <x:c r="A101" s="2"/>
      <x:c r="B101" s="2"/>
      <x:c r="C101" s="2"/>
      <x:c r="D101" s="3"/>
      <x:c r="E101" s="3"/>
      <x:c r="F101" s="3"/>
      <x:c r="G101" s="3"/>
      <x:c r="H101" s="3"/>
      <x:c r="I101" s="3"/>
      <x:c r="J101" s="3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21" customHeight="1">
      <x:c r="A102" s="2"/>
      <x:c r="B102" s="2"/>
      <x:c r="C102" s="2"/>
      <x:c r="D102" s="3"/>
      <x:c r="E102" s="3"/>
      <x:c r="F102" s="3"/>
      <x:c r="G102" s="3"/>
      <x:c r="H102" s="3"/>
      <x:c r="I102" s="3"/>
      <x:c r="J102" s="3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21" customHeight="1">
      <x:c r="A103" s="2"/>
      <x:c r="B103" s="2"/>
      <x:c r="C103" s="2"/>
      <x:c r="D103" s="3"/>
      <x:c r="E103" s="3"/>
      <x:c r="F103" s="3"/>
      <x:c r="G103" s="3"/>
      <x:c r="H103" s="3"/>
      <x:c r="I103" s="3"/>
      <x:c r="J103" s="3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21" customHeight="1">
      <x:c r="A104" s="2"/>
      <x:c r="B104" s="2"/>
      <x:c r="C104" s="2"/>
      <x:c r="D104" s="3"/>
      <x:c r="E104" s="3"/>
      <x:c r="F104" s="3"/>
      <x:c r="G104" s="3"/>
      <x:c r="H104" s="3"/>
      <x:c r="I104" s="3"/>
      <x:c r="J104" s="3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21" customHeight="1">
      <x:c r="A105" s="2"/>
      <x:c r="B105" s="2"/>
      <x:c r="C105" s="2"/>
      <x:c r="D105" s="3"/>
      <x:c r="E105" s="3"/>
      <x:c r="F105" s="3"/>
      <x:c r="G105" s="3"/>
      <x:c r="H105" s="3"/>
      <x:c r="I105" s="3"/>
      <x:c r="J105" s="3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21" customHeight="1">
      <x:c r="A106" s="2"/>
      <x:c r="B106" s="2"/>
      <x:c r="C106" s="2"/>
      <x:c r="D106" s="3"/>
      <x:c r="E106" s="3"/>
      <x:c r="F106" s="3"/>
      <x:c r="G106" s="3"/>
      <x:c r="H106" s="3"/>
      <x:c r="I106" s="3"/>
      <x:c r="J106" s="3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21" customHeight="1">
      <x:c r="A107" s="2"/>
      <x:c r="B107" s="2"/>
      <x:c r="C107" s="2"/>
      <x:c r="D107" s="3"/>
      <x:c r="E107" s="3"/>
      <x:c r="F107" s="3"/>
      <x:c r="G107" s="3"/>
      <x:c r="H107" s="3"/>
      <x:c r="I107" s="3"/>
      <x:c r="J107" s="3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21" customHeight="1">
      <x:c r="A108" s="2"/>
      <x:c r="B108" s="2"/>
      <x:c r="C108" s="2"/>
      <x:c r="D108" s="3"/>
      <x:c r="E108" s="3"/>
      <x:c r="F108" s="3"/>
      <x:c r="G108" s="3"/>
      <x:c r="H108" s="3"/>
      <x:c r="I108" s="3"/>
      <x:c r="J108" s="3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21" customHeight="1">
      <x:c r="A109" s="2"/>
      <x:c r="B109" s="2"/>
      <x:c r="C109" s="2"/>
      <x:c r="D109" s="3"/>
      <x:c r="E109" s="3"/>
      <x:c r="F109" s="3"/>
      <x:c r="G109" s="3"/>
      <x:c r="H109" s="3"/>
      <x:c r="I109" s="3"/>
      <x:c r="J109" s="3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21" customHeight="1">
      <x:c r="A110" s="2"/>
      <x:c r="B110" s="2"/>
      <x:c r="C110" s="2"/>
      <x:c r="D110" s="3"/>
      <x:c r="E110" s="3"/>
      <x:c r="F110" s="3"/>
      <x:c r="G110" s="3"/>
      <x:c r="H110" s="3"/>
      <x:c r="I110" s="3"/>
      <x:c r="J110" s="3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</x:sheetData>
  <x:conditionalFormatting sqref="D23:D25">
    <x:cfRule type="cellIs" dxfId="0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8736798d89a94b5f"/>
</x:worksheet>
</file>

<file path=xl/worksheets/sheet2.xml><?xml version="1.0" encoding="utf-8"?>
<x:worksheet xmlns:x="http://schemas.openxmlformats.org/spreadsheetml/2006/main">
  <x:sheetPr>
    <x:tabColor rgb="FFD78089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1" customHeight="1">
      <x:c r="A1" s="2"/>
      <x:c r="B1" s="2"/>
      <x:c r="C1" s="2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1" customHeight="1">
      <x:c r="A2" s="2"/>
      <x:c r="B2" s="2"/>
      <x:c r="C2" s="4" t="str">
        <x:v>Inputs</x:v>
      </x:c>
      <x:c r="D2" s="5"/>
      <x:c r="E2" s="5"/>
      <x:c r="F2" s="5"/>
      <x:c r="G2" s="5"/>
      <x:c r="H2" s="5"/>
      <x:c r="I2" s="5"/>
      <x:c r="J2" s="5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3"/>
      <x:c r="E3" s="3"/>
      <x:c r="F3" s="3"/>
      <x:c r="G3" s="3"/>
      <x:c r="H3" s="3"/>
      <x:c r="I3" s="3"/>
      <x:c r="J3" s="3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"/>
      <x:c r="B4" s="2"/>
      <x:c r="C4" s="2" t="str">
        <x:v>Case selected</x:v>
      </x:c>
      <x:c r="D4" s="7" t="n">
        <x:v>1</x:v>
      </x:c>
      <x:c r="E4" s="8" t="str">
        <x:f>CHOOSE(D4,"Base","Downside","Upside")</x:f>
        <x:v>Base</x:v>
      </x:c>
      <x:c r="F4" s="3"/>
      <x:c r="G4" s="3" t="str">
        <x:v>1 Base   2 Downside   3 Upside</x:v>
      </x:c>
      <x:c r="H4" s="3"/>
      <x:c r="I4" s="3"/>
      <x:c r="J4" s="3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/>
      <x:c r="B5" s="2"/>
      <x:c r="C5" s="2"/>
      <x:c r="D5" s="3"/>
      <x:c r="E5" s="3"/>
      <x:c r="F5" s="3"/>
      <x:c r="G5" s="3"/>
      <x:c r="H5" s="3"/>
      <x:c r="I5" s="3"/>
      <x:c r="J5" s="3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"/>
      <x:c r="B6" s="2"/>
      <x:c r="C6" s="69" t="str">
        <x:v>Theoretical location: 245 Beaver Lake Court, units 150 and 160. Details below.</x:v>
      </x:c>
      <x:c r="D6" s="70"/>
      <x:c r="E6" s="70"/>
      <x:c r="F6" s="70"/>
      <x:c r="G6" s="70"/>
      <x:c r="H6" s="70"/>
      <x:c r="I6" s="70"/>
      <x:c r="J6" s="70"/>
      <x:c r="K6" s="69"/>
      <x:c r="L6" s="69"/>
      <x:c r="M6" s="69"/>
      <x:c r="N6" s="69"/>
      <x:c r="O6" s="2"/>
      <x:c r="P6" s="2"/>
      <x:c r="Q6" s="2"/>
      <x:c r="R6" s="2"/>
      <x:c r="S6" s="2"/>
      <x:c r="T6" s="2"/>
    </x:row>
    <x:row r="7" ht="21" customHeight="1">
      <x:c r="A7" s="2"/>
      <x:c r="B7" s="2"/>
      <x:c r="C7" s="2"/>
      <x:c r="D7" s="3"/>
      <x:c r="E7" s="3"/>
      <x:c r="F7" s="3"/>
      <x:c r="G7" s="3"/>
      <x:c r="H7" s="3"/>
      <x:c r="I7" s="3"/>
      <x:c r="J7" s="3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1" customHeight="1">
      <x:c r="A8" s="2"/>
      <x:c r="B8" s="2"/>
      <x:c r="C8" s="2" t="str">
        <x:v>Courts</x:v>
      </x:c>
      <x:c r="D8" s="9" t="n">
        <x:v>4</x:v>
      </x:c>
      <x:c r="E8" s="3"/>
      <x:c r="F8" s="3" t="str">
        <x:v>All forecasts start with zero inherited customers.</x:v>
      </x:c>
      <x:c r="G8" s="3"/>
      <x:c r="H8" s="3"/>
      <x:c r="I8" s="3"/>
      <x:c r="J8" s="3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1" customHeight="1">
      <x:c r="A9" s="2"/>
      <x:c r="B9" s="2"/>
      <x:c r="C9" s="2" t="str">
        <x:v>Planning opening date</x:v>
      </x:c>
      <x:c r="D9" s="10" t="d">
        <x:v>2027-09-01T00:00:00.000Z</x:v>
      </x:c>
      <x:c r="E9" s="3"/>
      <x:c r="F9" s="3"/>
      <x:c r="G9" s="3"/>
      <x:c r="H9" s="3"/>
      <x:c r="I9" s="3"/>
      <x:c r="J9" s="3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1" customHeight="1">
      <x:c r="A10" s="2"/>
      <x:c r="B10" s="2"/>
      <x:c r="C10" s="2" t="str">
        <x:v>Peak slots per court per week</x:v>
      </x:c>
      <x:c r="D10" s="9" t="n">
        <x:v>32</x:v>
      </x:c>
      <x:c r="E10" s="3"/>
      <x:c r="F10" s="3" t="str">
        <x:v>63 complete 90 minute slots per court per week.</x:v>
      </x:c>
      <x:c r="G10" s="3"/>
      <x:c r="H10" s="3"/>
      <x:c r="I10" s="3"/>
      <x:c r="J10" s="3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1" customHeight="1">
      <x:c r="A11" s="2"/>
      <x:c r="B11" s="2"/>
      <x:c r="C11" s="2" t="str">
        <x:v>Off peak slots per court per week</x:v>
      </x:c>
      <x:c r="D11" s="9" t="n">
        <x:v>31</x:v>
      </x:c>
      <x:c r="E11" s="3"/>
      <x:c r="F11" s="3"/>
      <x:c r="G11" s="3"/>
      <x:c r="H11" s="3"/>
      <x:c r="I11" s="3"/>
      <x:c r="J11" s="3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1" customHeight="1">
      <x:c r="A12" s="2"/>
      <x:c r="B12" s="2"/>
      <x:c r="C12" s="2" t="str">
        <x:v>Players paying per booking</x:v>
      </x:c>
      <x:c r="D12" s="9" t="n">
        <x:v>4</x:v>
      </x:c>
      <x:c r="E12" s="3"/>
      <x:c r="F12" s="3" t="str">
        <x:v>Four paid places per booking; no free play revenue.</x:v>
      </x:c>
      <x:c r="G12" s="3"/>
      <x:c r="H12" s="3"/>
      <x:c r="I12" s="3"/>
      <x:c r="J12" s="3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1" customHeight="1">
      <x:c r="A13" s="2"/>
      <x:c r="B13" s="2"/>
      <x:c r="C13" s="2" t="str">
        <x:v>GST included in prices</x:v>
      </x:c>
      <x:c r="D13" s="11" t="n">
        <x:v>0.05</x:v>
      </x:c>
      <x:c r="E13" s="3"/>
      <x:c r="F13" s="3"/>
      <x:c r="G13" s="3"/>
      <x:c r="H13" s="3"/>
      <x:c r="I13" s="3"/>
      <x:c r="J13" s="3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1" customHeight="1">
      <x:c r="A14" s="2"/>
      <x:c r="B14" s="2"/>
      <x:c r="C14" s="2" t="str">
        <x:v>Card fees on gross receipts</x:v>
      </x:c>
      <x:c r="D14" s="11" t="n">
        <x:v>0.03</x:v>
      </x:c>
      <x:c r="E14" s="3"/>
      <x:c r="F14" s="3"/>
      <x:c r="G14" s="3"/>
      <x:c r="H14" s="3"/>
      <x:c r="I14" s="3"/>
      <x:c r="J14" s="3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1" customHeight="1">
      <x:c r="A15" s="2"/>
      <x:c r="B15" s="2"/>
      <x:c r="C15" s="2" t="str">
        <x:v>Cash tax allowance on positive EBITDA</x:v>
      </x:c>
      <x:c r="D15" s="11" t="n">
        <x:v>0.27</x:v>
      </x:c>
      <x:c r="E15" s="3"/>
      <x:c r="F15" s="3" t="str">
        <x:v>Planning cash allowance, not a tax calculation.</x:v>
      </x:c>
      <x:c r="G15" s="3"/>
      <x:c r="H15" s="3"/>
      <x:c r="I15" s="3"/>
      <x:c r="J15" s="3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21" customHeight="1">
      <x:c r="A16" s="2"/>
      <x:c r="B16" s="2"/>
      <x:c r="C16" s="2" t="str">
        <x:v>Maintenance capex as share of net sales</x:v>
      </x:c>
      <x:c r="D16" s="11" t="n">
        <x:v>0.02</x:v>
      </x:c>
      <x:c r="E16" s="3"/>
      <x:c r="F16" s="3"/>
      <x:c r="G16" s="3"/>
      <x:c r="H16" s="3"/>
      <x:c r="I16" s="3"/>
      <x:c r="J16" s="3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21" customHeight="1">
      <x:c r="A17" s="2"/>
      <x:c r="B17" s="2"/>
      <x:c r="C17" s="2" t="str">
        <x:v>Annual operating cost increase</x:v>
      </x:c>
      <x:c r="D17" s="11" t="n">
        <x:v>0.03</x:v>
      </x:c>
      <x:c r="E17" s="3"/>
      <x:c r="F17" s="3"/>
      <x:c r="G17" s="3"/>
      <x:c r="H17" s="3"/>
      <x:c r="I17" s="3"/>
      <x:c r="J17" s="3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21" customHeight="1">
      <x:c r="A18" s="2"/>
      <x:c r="B18" s="2"/>
      <x:c r="C18" s="2" t="str">
        <x:v>Illustrative equity funding</x:v>
      </x:c>
      <x:c r="D18" s="9" t="n">
        <x:v>1000000</x:v>
      </x:c>
      <x:c r="E18" s="3"/>
      <x:c r="F18" s="3" t="str">
        <x:v>Funding assumption only; no commitment is implied.</x:v>
      </x:c>
      <x:c r="G18" s="3"/>
      <x:c r="H18" s="3"/>
      <x:c r="I18" s="3"/>
      <x:c r="J18" s="3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1" customHeight="1">
      <x:c r="A19" s="2"/>
      <x:c r="B19" s="2"/>
      <x:c r="C19" s="2" t="str">
        <x:v>Required opening reserve</x:v>
      </x:c>
      <x:c r="D19" s="9" t="n">
        <x:v>350000</x:v>
      </x:c>
      <x:c r="E19" s="3"/>
      <x:c r="F19" s="3"/>
      <x:c r="G19" s="3"/>
      <x:c r="H19" s="3"/>
      <x:c r="I19" s="3"/>
      <x:c r="J19" s="3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1" customHeight="1">
      <x:c r="A20" s="2"/>
      <x:c r="B20" s="2"/>
      <x:c r="C20" s="2" t="str">
        <x:v>Minimum unrestricted cash</x:v>
      </x:c>
      <x:c r="D20" s="9" t="n">
        <x:v>150000</x:v>
      </x:c>
      <x:c r="E20" s="3"/>
      <x:c r="F20" s="3"/>
      <x:c r="G20" s="3"/>
      <x:c r="H20" s="3"/>
      <x:c r="I20" s="3"/>
      <x:c r="J20" s="3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1" customHeight="1">
      <x:c r="A21" s="2"/>
      <x:c r="B21" s="2"/>
      <x:c r="C21" s="2" t="str">
        <x:v>Confirmed committed funding</x:v>
      </x:c>
      <x:c r="D21" s="9" t="n">
        <x:v>0</x:v>
      </x:c>
      <x:c r="E21" s="3"/>
      <x:c r="F21" s="3" t="str">
        <x:v>Replace with actual signed funding commitments.</x:v>
      </x:c>
      <x:c r="G21" s="3"/>
      <x:c r="H21" s="3"/>
      <x:c r="I21" s="3"/>
      <x:c r="J21" s="3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1" customHeight="1">
      <x:c r="A22" s="2"/>
      <x:c r="B22" s="2"/>
      <x:c r="C22" s="2" t="str">
        <x:v>General manager annual salary</x:v>
      </x:c>
      <x:c r="D22" s="9" t="n">
        <x:v>78000</x:v>
      </x:c>
      <x:c r="E22" s="3"/>
      <x:c r="F22" s="3"/>
      <x:c r="G22" s="3"/>
      <x:c r="H22" s="3"/>
      <x:c r="I22" s="3"/>
      <x:c r="J22" s="3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1" customHeight="1">
      <x:c r="A23" s="2"/>
      <x:c r="B23" s="2"/>
      <x:c r="C23" s="2" t="str">
        <x:v>Payroll cost allowance</x:v>
      </x:c>
      <x:c r="D23" s="11" t="n">
        <x:v>0.15</x:v>
      </x:c>
      <x:c r="E23" s="3"/>
      <x:c r="F23" s="3" t="str">
        <x:v>Assumption includes statutory costs, leave and relief.</x:v>
      </x:c>
      <x:c r="G23" s="3"/>
      <x:c r="H23" s="3"/>
      <x:c r="I23" s="3"/>
      <x:c r="J23" s="3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1" customHeight="1">
      <x:c r="A24" s="2"/>
      <x:c r="B24" s="2"/>
      <x:c r="C24" s="2" t="str">
        <x:v>Assistant staff hours per week</x:v>
      </x:c>
      <x:c r="D24" s="9" t="n">
        <x:v>85</x:v>
      </x:c>
      <x:c r="E24" s="3"/>
      <x:c r="F24" s="3"/>
      <x:c r="G24" s="3"/>
      <x:c r="H24" s="3"/>
      <x:c r="I24" s="3"/>
      <x:c r="J24" s="3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1" customHeight="1">
      <x:c r="A25" s="2"/>
      <x:c r="B25" s="2"/>
      <x:c r="C25" s="2" t="str">
        <x:v>Assistant hourly wage</x:v>
      </x:c>
      <x:c r="D25" s="9" t="n">
        <x:v>22</x:v>
      </x:c>
      <x:c r="E25" s="3"/>
      <x:c r="F25" s="3"/>
      <x:c r="G25" s="3"/>
      <x:c r="H25" s="3"/>
      <x:c r="I25" s="3"/>
      <x:c r="J25" s="3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1" customHeight="1">
      <x:c r="A26" s="2"/>
      <x:c r="B26" s="2"/>
      <x:c r="C26" s="2" t="str">
        <x:v>BOL oversight per month</x:v>
      </x:c>
      <x:c r="D26" s="9" t="n">
        <x:v>3000</x:v>
      </x:c>
      <x:c r="E26" s="3"/>
      <x:c r="F26" s="3" t="str">
        <x:v>Budget allowance subject to written scope and approval.</x:v>
      </x:c>
      <x:c r="G26" s="3"/>
      <x:c r="H26" s="3"/>
      <x:c r="I26" s="3"/>
      <x:c r="J26" s="3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1" customHeight="1">
      <x:c r="A27" s="2"/>
      <x:c r="B27" s="2"/>
      <x:c r="C27" s="2" t="str">
        <x:v>Travel per month</x:v>
      </x:c>
      <x:c r="D27" s="9" t="n">
        <x:v>1000</x:v>
      </x:c>
      <x:c r="E27" s="3"/>
      <x:c r="F27" s="3"/>
      <x:c r="G27" s="3"/>
      <x:c r="H27" s="3"/>
      <x:c r="I27" s="3"/>
      <x:c r="J27" s="3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1" customHeight="1">
      <x:c r="A28" s="2"/>
      <x:c r="B28" s="2"/>
      <x:c r="C28" s="2" t="str">
        <x:v>Utilities per month</x:v>
      </x:c>
      <x:c r="D28" s="9" t="n">
        <x:v>3500</x:v>
      </x:c>
      <x:c r="E28" s="3"/>
      <x:c r="F28" s="3"/>
      <x:c r="G28" s="3"/>
      <x:c r="H28" s="3"/>
      <x:c r="I28" s="3"/>
      <x:c r="J28" s="3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1" customHeight="1">
      <x:c r="A29" s="2"/>
      <x:c r="B29" s="2"/>
      <x:c r="C29" s="2" t="str">
        <x:v>Cleaning per month</x:v>
      </x:c>
      <x:c r="D29" s="9" t="n">
        <x:v>1200</x:v>
      </x:c>
      <x:c r="E29" s="3"/>
      <x:c r="F29" s="3"/>
      <x:c r="G29" s="3"/>
      <x:c r="H29" s="3"/>
      <x:c r="I29" s="3"/>
      <x:c r="J29" s="3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1" customHeight="1">
      <x:c r="A30" s="2"/>
      <x:c r="B30" s="2"/>
      <x:c r="C30" s="2" t="str">
        <x:v>Insurance per month</x:v>
      </x:c>
      <x:c r="D30" s="9" t="n">
        <x:v>800</x:v>
      </x:c>
      <x:c r="E30" s="3"/>
      <x:c r="F30" s="3"/>
      <x:c r="G30" s="3"/>
      <x:c r="H30" s="3"/>
      <x:c r="I30" s="3"/>
      <x:c r="J30" s="3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1" customHeight="1">
      <x:c r="A31" s="2"/>
      <x:c r="B31" s="2"/>
      <x:c r="C31" s="2" t="str">
        <x:v>Software and security per month</x:v>
      </x:c>
      <x:c r="D31" s="9" t="n">
        <x:v>600</x:v>
      </x:c>
      <x:c r="E31" s="3"/>
      <x:c r="F31" s="3"/>
      <x:c r="G31" s="3"/>
      <x:c r="H31" s="3"/>
      <x:c r="I31" s="3"/>
      <x:c r="J31" s="3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1" customHeight="1">
      <x:c r="A32" s="2"/>
      <x:c r="B32" s="2"/>
      <x:c r="C32" s="2" t="str">
        <x:v>Accounting and legal per month</x:v>
      </x:c>
      <x:c r="D32" s="9" t="n">
        <x:v>1000</x:v>
      </x:c>
      <x:c r="E32" s="3"/>
      <x:c r="F32" s="3"/>
      <x:c r="G32" s="3"/>
      <x:c r="H32" s="3"/>
      <x:c r="I32" s="3"/>
      <x:c r="J32" s="3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1" customHeight="1">
      <x:c r="A33" s="2"/>
      <x:c r="B33" s="2"/>
      <x:c r="C33" s="2" t="str">
        <x:v>Marketing per month</x:v>
      </x:c>
      <x:c r="D33" s="9" t="n">
        <x:v>2500</x:v>
      </x:c>
      <x:c r="E33" s="3"/>
      <x:c r="F33" s="3"/>
      <x:c r="G33" s="3"/>
      <x:c r="H33" s="3"/>
      <x:c r="I33" s="3"/>
      <x:c r="J33" s="3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1" customHeight="1">
      <x:c r="A34" s="2"/>
      <x:c r="B34" s="2"/>
      <x:c r="C34" s="2" t="str">
        <x:v>Routine repairs per month</x:v>
      </x:c>
      <x:c r="D34" s="9" t="n">
        <x:v>700</x:v>
      </x:c>
      <x:c r="E34" s="3"/>
      <x:c r="F34" s="3"/>
      <x:c r="G34" s="3"/>
      <x:c r="H34" s="3"/>
      <x:c r="I34" s="3"/>
      <x:c r="J34" s="3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1" customHeight="1">
      <x:c r="A35" s="2"/>
      <x:c r="B35" s="2"/>
      <x:c r="C35" s="2" t="str">
        <x:v>Other operating costs per month</x:v>
      </x:c>
      <x:c r="D35" s="9" t="n">
        <x:v>500</x:v>
      </x:c>
      <x:c r="E35" s="3"/>
      <x:c r="F35" s="3"/>
      <x:c r="G35" s="3"/>
      <x:c r="H35" s="3"/>
      <x:c r="I35" s="3"/>
      <x:c r="J35" s="3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1" customHeight="1">
      <x:c r="A36" s="2"/>
      <x:c r="B36" s="2"/>
      <x:c r="C36" s="2" t="str">
        <x:v>Manager bonus budget per month</x:v>
      </x:c>
      <x:c r="D36" s="9" t="n">
        <x:v>500</x:v>
      </x:c>
      <x:c r="E36" s="3"/>
      <x:c r="F36" s="3"/>
      <x:c r="G36" s="3"/>
      <x:c r="H36" s="3"/>
      <x:c r="I36" s="3"/>
      <x:c r="J36" s="3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1" customHeight="1">
      <x:c r="A37" s="2"/>
      <x:c r="B37" s="2"/>
      <x:c r="C37" s="2" t="str">
        <x:v>Base preopening months</x:v>
      </x:c>
      <x:c r="D37" s="9" t="n">
        <x:v>3</x:v>
      </x:c>
      <x:c r="E37" s="3"/>
      <x:c r="F37" s="3"/>
      <x:c r="G37" s="3"/>
      <x:c r="H37" s="3"/>
      <x:c r="I37" s="3"/>
      <x:c r="J37" s="3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1" customHeight="1">
      <x:c r="A38" s="2"/>
      <x:c r="B38" s="2"/>
      <x:c r="C38" s="2" t="str">
        <x:v>Extra delay cash burn per month</x:v>
      </x:c>
      <x:c r="D38" s="9" t="n">
        <x:v>23000</x:v>
      </x:c>
      <x:c r="E38" s="3"/>
      <x:c r="F38" s="3"/>
      <x:c r="G38" s="3"/>
      <x:c r="H38" s="3"/>
      <x:c r="I38" s="3"/>
      <x:c r="J38" s="3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1" customHeight="1">
      <x:c r="A39" s="2"/>
      <x:c r="B39" s="2"/>
      <x:c r="C39" s="2" t="str">
        <x:v>Annual price increase</x:v>
      </x:c>
      <x:c r="D39" s="11" t="n">
        <x:v>0</x:v>
      </x:c>
      <x:c r="E39" s="3"/>
      <x:c r="F39" s="3"/>
      <x:c r="G39" s="3"/>
      <x:c r="H39" s="3"/>
      <x:c r="I39" s="3"/>
      <x:c r="J39" s="3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1" customHeight="1">
      <x:c r="A40" s="2"/>
      <x:c r="B40" s="2"/>
      <x:c r="C40" s="2" t="str">
        <x:v>Share of eligible quarterly cash distributed</x:v>
      </x:c>
      <x:c r="D40" s="11" t="n">
        <x:v>0.5</x:v>
      </x:c>
      <x:c r="E40" s="3"/>
      <x:c r="F40" s="3" t="str">
        <x:v>After prior operating cash losses recover and cash floor holds.</x:v>
      </x:c>
      <x:c r="G40" s="3"/>
      <x:c r="H40" s="3"/>
      <x:c r="I40" s="3"/>
      <x:c r="J40" s="3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1" customHeight="1">
      <x:c r="A41" s="2"/>
      <x:c r="B41" s="2"/>
      <x:c r="C41" s="2" t="str">
        <x:v>Earliest distribution month</x:v>
      </x:c>
      <x:c r="D41" s="9" t="n">
        <x:v>25</x:v>
      </x:c>
      <x:c r="E41" s="3"/>
      <x:c r="F41" s="3"/>
      <x:c r="G41" s="3"/>
      <x:c r="H41" s="3"/>
      <x:c r="I41" s="3"/>
      <x:c r="J41" s="3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1" customHeight="1">
      <x:c r="A42" s="2"/>
      <x:c r="B42" s="2"/>
      <x:c r="C42" s="2"/>
      <x:c r="D42" s="3"/>
      <x:c r="E42" s="3"/>
      <x:c r="F42" s="3"/>
      <x:c r="G42" s="3"/>
      <x:c r="H42" s="3"/>
      <x:c r="I42" s="3"/>
      <x:c r="J42" s="3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1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1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1" customHeight="1">
      <x:c r="A45" s="2"/>
      <x:c r="B45" s="2"/>
      <x:c r="C45" s="12" t="str">
        <x:v>Monthly all in occupancy active</x:v>
      </x:c>
      <x:c r="D45" s="13" t="n">
        <x:f>CHOOSE($D$4,D46,D47,D48)</x:f>
        <x:v>16000</x:v>
      </x:c>
      <x:c r="E45" s="3"/>
      <x:c r="F45" s="70" t="str">
        <x:v>Planning assumption; landlord rent unpublished. Excludes GST and utilities.</x:v>
      </x:c>
      <x:c r="G45" s="70"/>
      <x:c r="H45" s="70"/>
      <x:c r="I45" s="70"/>
      <x:c r="J45" s="70"/>
      <x:c r="K45" s="69"/>
      <x:c r="L45" s="69"/>
      <x:c r="M45" s="69"/>
      <x:c r="N45" s="69"/>
      <x:c r="O45" s="2"/>
      <x:c r="P45" s="2"/>
      <x:c r="Q45" s="2"/>
      <x:c r="R45" s="2"/>
      <x:c r="S45" s="2"/>
      <x:c r="T45" s="2"/>
    </x:row>
    <x:row r="46" ht="21" customHeight="1">
      <x:c r="A46" s="2"/>
      <x:c r="B46" s="2"/>
      <x:c r="C46" s="2" t="str">
        <x:v>Base</x:v>
      </x:c>
      <x:c r="D46" s="9" t="n">
        <x:v>16000</x:v>
      </x:c>
      <x:c r="E46" s="3"/>
      <x:c r="F46" s="3"/>
      <x:c r="G46" s="3"/>
      <x:c r="H46" s="3"/>
      <x:c r="I46" s="3"/>
      <x:c r="J46" s="3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1" customHeight="1">
      <x:c r="A47" s="2"/>
      <x:c r="B47" s="2"/>
      <x:c r="C47" s="2" t="str">
        <x:v>Downside</x:v>
      </x:c>
      <x:c r="D47" s="9" t="n">
        <x:v>18000</x:v>
      </x:c>
      <x:c r="E47" s="3"/>
      <x:c r="F47" s="3"/>
      <x:c r="G47" s="3"/>
      <x:c r="H47" s="3"/>
      <x:c r="I47" s="3"/>
      <x:c r="J47" s="3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1" customHeight="1">
      <x:c r="A48" s="2"/>
      <x:c r="B48" s="2"/>
      <x:c r="C48" s="2" t="str">
        <x:v>Upside</x:v>
      </x:c>
      <x:c r="D48" s="9" t="n">
        <x:v>16000</x:v>
      </x:c>
      <x:c r="E48" s="3"/>
      <x:c r="F48" s="3"/>
      <x:c r="G48" s="3"/>
      <x:c r="H48" s="3"/>
      <x:c r="I48" s="3"/>
      <x:c r="J48" s="3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1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1" customHeight="1">
      <x:c r="A50" s="2"/>
      <x:c r="B50" s="2"/>
      <x:c r="C50" s="12" t="str">
        <x:v>Peak price per player incl GST active</x:v>
      </x:c>
      <x:c r="D50" s="27" t="n">
        <x:f>CHOOSE($D$4,D51,D52,D53)</x:f>
        <x:v>28</x:v>
      </x:c>
      <x:c r="E50" s="3"/>
      <x:c r="F50" s="3"/>
      <x:c r="G50" s="3"/>
      <x:c r="H50" s="3"/>
      <x:c r="I50" s="3"/>
      <x:c r="J50" s="3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1" customHeight="1">
      <x:c r="A51" s="2"/>
      <x:c r="B51" s="2"/>
      <x:c r="C51" s="2" t="str">
        <x:v>Base</x:v>
      </x:c>
      <x:c r="D51" s="28" t="n">
        <x:v>28</x:v>
      </x:c>
      <x:c r="E51" s="3"/>
      <x:c r="F51" s="3"/>
      <x:c r="G51" s="3"/>
      <x:c r="H51" s="3"/>
      <x:c r="I51" s="3"/>
      <x:c r="J51" s="3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1" customHeight="1">
      <x:c r="A52" s="2"/>
      <x:c r="B52" s="2"/>
      <x:c r="C52" s="2" t="str">
        <x:v>Downside</x:v>
      </x:c>
      <x:c r="D52" s="28" t="n">
        <x:v>25.2</x:v>
      </x:c>
      <x:c r="E52" s="3"/>
      <x:c r="F52" s="3"/>
      <x:c r="G52" s="3"/>
      <x:c r="H52" s="3"/>
      <x:c r="I52" s="3"/>
      <x:c r="J52" s="3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1" customHeight="1">
      <x:c r="A53" s="2"/>
      <x:c r="B53" s="2"/>
      <x:c r="C53" s="2" t="str">
        <x:v>Upside</x:v>
      </x:c>
      <x:c r="D53" s="28" t="n">
        <x:v>29.4</x:v>
      </x:c>
      <x:c r="E53" s="3"/>
      <x:c r="F53" s="3"/>
      <x:c r="G53" s="3"/>
      <x:c r="H53" s="3"/>
      <x:c r="I53" s="3"/>
      <x:c r="J53" s="3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1" customHeight="1">
      <x:c r="A54" s="2"/>
      <x:c r="B54" s="2"/>
      <x:c r="C54" s="2"/>
      <x:c r="D54" s="29"/>
      <x:c r="E54" s="3"/>
      <x:c r="F54" s="3"/>
      <x:c r="G54" s="3"/>
      <x:c r="H54" s="3"/>
      <x:c r="I54" s="3"/>
      <x:c r="J54" s="3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1" customHeight="1">
      <x:c r="A55" s="2"/>
      <x:c r="B55" s="2"/>
      <x:c r="C55" s="12" t="str">
        <x:v>Off peak price per player incl GST active</x:v>
      </x:c>
      <x:c r="D55" s="27" t="n">
        <x:f>CHOOSE($D$4,D56,D57,D58)</x:f>
        <x:v>22</x:v>
      </x:c>
      <x:c r="E55" s="3"/>
      <x:c r="F55" s="3"/>
      <x:c r="G55" s="3"/>
      <x:c r="H55" s="3"/>
      <x:c r="I55" s="3"/>
      <x:c r="J55" s="3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21" customHeight="1">
      <x:c r="A56" s="2"/>
      <x:c r="B56" s="2"/>
      <x:c r="C56" s="2" t="str">
        <x:v>Base</x:v>
      </x:c>
      <x:c r="D56" s="28" t="n">
        <x:v>22</x:v>
      </x:c>
      <x:c r="E56" s="3"/>
      <x:c r="F56" s="3"/>
      <x:c r="G56" s="3"/>
      <x:c r="H56" s="3"/>
      <x:c r="I56" s="3"/>
      <x:c r="J56" s="3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21" customHeight="1">
      <x:c r="A57" s="2"/>
      <x:c r="B57" s="2"/>
      <x:c r="C57" s="2" t="str">
        <x:v>Downside</x:v>
      </x:c>
      <x:c r="D57" s="28" t="n">
        <x:v>19.8</x:v>
      </x:c>
      <x:c r="E57" s="3"/>
      <x:c r="F57" s="3"/>
      <x:c r="G57" s="3"/>
      <x:c r="H57" s="3"/>
      <x:c r="I57" s="3"/>
      <x:c r="J57" s="3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21" customHeight="1">
      <x:c r="A58" s="2"/>
      <x:c r="B58" s="2"/>
      <x:c r="C58" s="2" t="str">
        <x:v>Upside</x:v>
      </x:c>
      <x:c r="D58" s="28" t="n">
        <x:v>23.1</x:v>
      </x:c>
      <x:c r="E58" s="3"/>
      <x:c r="F58" s="3"/>
      <x:c r="G58" s="3"/>
      <x:c r="H58" s="3"/>
      <x:c r="I58" s="3"/>
      <x:c r="J58" s="3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21" customHeight="1">
      <x:c r="A60" s="2"/>
      <x:c r="B60" s="2"/>
      <x:c r="C60" s="12" t="str">
        <x:v>Build cost multiplier active</x:v>
      </x:c>
      <x:c r="D60" s="14" t="n">
        <x:f>CHOOSE($D$4,D61,D62,D63)</x:f>
        <x:v>1</x:v>
      </x:c>
      <x:c r="E60" s="3"/>
      <x:c r="F60" s="3"/>
      <x:c r="G60" s="3"/>
      <x:c r="H60" s="3"/>
      <x:c r="I60" s="3"/>
      <x:c r="J60" s="3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21" customHeight="1">
      <x:c r="A61" s="2"/>
      <x:c r="B61" s="2"/>
      <x:c r="C61" s="2" t="str">
        <x:v>Base</x:v>
      </x:c>
      <x:c r="D61" s="15" t="n">
        <x:v>1</x:v>
      </x:c>
      <x:c r="E61" s="3"/>
      <x:c r="F61" s="3"/>
      <x:c r="G61" s="3"/>
      <x:c r="H61" s="3"/>
      <x:c r="I61" s="3"/>
      <x:c r="J61" s="3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21" customHeight="1">
      <x:c r="A62" s="2"/>
      <x:c r="B62" s="2"/>
      <x:c r="C62" s="2" t="str">
        <x:v>Downside</x:v>
      </x:c>
      <x:c r="D62" s="15" t="n">
        <x:v>1.15</x:v>
      </x:c>
      <x:c r="E62" s="3"/>
      <x:c r="F62" s="3"/>
      <x:c r="G62" s="3"/>
      <x:c r="H62" s="3"/>
      <x:c r="I62" s="3"/>
      <x:c r="J62" s="3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21" customHeight="1">
      <x:c r="A63" s="2"/>
      <x:c r="B63" s="2"/>
      <x:c r="C63" s="2" t="str">
        <x:v>Upside</x:v>
      </x:c>
      <x:c r="D63" s="15" t="n">
        <x:v>1</x:v>
      </x:c>
      <x:c r="E63" s="3"/>
      <x:c r="F63" s="3"/>
      <x:c r="G63" s="3"/>
      <x:c r="H63" s="3"/>
      <x:c r="I63" s="3"/>
      <x:c r="J63" s="3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21" customHeight="1">
      <x:c r="A64" s="2"/>
      <x:c r="B64" s="2"/>
      <x:c r="C64" s="2"/>
      <x:c r="D64" s="3"/>
      <x:c r="E64" s="3"/>
      <x:c r="F64" s="3"/>
      <x:c r="G64" s="3"/>
      <x:c r="H64" s="3"/>
      <x:c r="I64" s="3"/>
      <x:c r="J64" s="3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21" customHeight="1">
      <x:c r="A65" s="2"/>
      <x:c r="B65" s="2"/>
      <x:c r="C65" s="12" t="str">
        <x:v>Extra preopening months active</x:v>
      </x:c>
      <x:c r="D65" s="13" t="n">
        <x:f>CHOOSE($D$4,D66,D67,D68)</x:f>
        <x:v>0</x:v>
      </x:c>
      <x:c r="E65" s="3"/>
      <x:c r="F65" s="3"/>
      <x:c r="G65" s="3"/>
      <x:c r="H65" s="3"/>
      <x:c r="I65" s="3"/>
      <x:c r="J65" s="3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21" customHeight="1">
      <x:c r="A66" s="2"/>
      <x:c r="B66" s="2"/>
      <x:c r="C66" s="2" t="str">
        <x:v>Base</x:v>
      </x:c>
      <x:c r="D66" s="9" t="n">
        <x:v>0</x:v>
      </x:c>
      <x:c r="E66" s="3"/>
      <x:c r="F66" s="3"/>
      <x:c r="G66" s="3"/>
      <x:c r="H66" s="3"/>
      <x:c r="I66" s="3"/>
      <x:c r="J66" s="3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21" customHeight="1">
      <x:c r="A67" s="2"/>
      <x:c r="B67" s="2"/>
      <x:c r="C67" s="2" t="str">
        <x:v>Downside</x:v>
      </x:c>
      <x:c r="D67" s="9" t="n">
        <x:v>2</x:v>
      </x:c>
      <x:c r="E67" s="3"/>
      <x:c r="F67" s="3"/>
      <x:c r="G67" s="3"/>
      <x:c r="H67" s="3"/>
      <x:c r="I67" s="3"/>
      <x:c r="J67" s="3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21" customHeight="1">
      <x:c r="A68" s="2"/>
      <x:c r="B68" s="2"/>
      <x:c r="C68" s="2" t="str">
        <x:v>Upside</x:v>
      </x:c>
      <x:c r="D68" s="9" t="n">
        <x:v>0</x:v>
      </x:c>
      <x:c r="E68" s="3"/>
      <x:c r="F68" s="3"/>
      <x:c r="G68" s="3"/>
      <x:c r="H68" s="3"/>
      <x:c r="I68" s="3"/>
      <x:c r="J68" s="3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21" customHeight="1">
      <x:c r="A69" s="2"/>
      <x:c r="B69" s="2"/>
      <x:c r="C69" s="2"/>
      <x:c r="D69" s="3"/>
      <x:c r="E69" s="3"/>
      <x:c r="F69" s="3"/>
      <x:c r="G69" s="3"/>
      <x:c r="H69" s="3"/>
      <x:c r="I69" s="3"/>
      <x:c r="J69" s="3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21" customHeight="1">
      <x:c r="A70" s="2"/>
      <x:c r="B70" s="2"/>
      <x:c r="C70" s="2"/>
      <x:c r="D70" s="3"/>
      <x:c r="E70" s="3"/>
      <x:c r="F70" s="3"/>
      <x:c r="G70" s="3"/>
      <x:c r="H70" s="3"/>
      <x:c r="I70" s="3"/>
      <x:c r="J70" s="3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21" customHeight="1">
      <x:c r="A71" s="2"/>
      <x:c r="B71" s="2"/>
      <x:c r="C71" s="2"/>
      <x:c r="D71" s="3" t="str">
        <x:v>Year 1</x:v>
      </x:c>
      <x:c r="E71" s="3" t="str">
        <x:v>Year 2</x:v>
      </x:c>
      <x:c r="F71" s="3" t="str">
        <x:v>Year 3</x:v>
      </x:c>
      <x:c r="G71" s="3" t="str">
        <x:v>Year 4</x:v>
      </x:c>
      <x:c r="H71" s="3" t="str">
        <x:v>Year 5</x:v>
      </x:c>
      <x:c r="I71" s="3"/>
      <x:c r="J71" s="3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21" customHeight="1">
      <x:c r="A72" s="2"/>
      <x:c r="B72" s="2"/>
      <x:c r="C72" s="12" t="str">
        <x:v>Peak paid utilization active</x:v>
      </x:c>
      <x:c r="D72" s="16" t="n">
        <x:f>CHOOSE($D$4,D73,D74,D75)</x:f>
        <x:v>0.55</x:v>
      </x:c>
      <x:c r="E72" s="16" t="n">
        <x:f>CHOOSE($D$4,E73,E74,E75)</x:f>
        <x:v>0.72</x:v>
      </x:c>
      <x:c r="F72" s="16" t="n">
        <x:f>CHOOSE($D$4,F73,F74,F75)</x:f>
        <x:v>0.82</x:v>
      </x:c>
      <x:c r="G72" s="16" t="n">
        <x:f>CHOOSE($D$4,G73,G74,G75)</x:f>
        <x:v>0.84</x:v>
      </x:c>
      <x:c r="H72" s="16" t="n">
        <x:f>CHOOSE($D$4,H73,H74,H75)</x:f>
        <x:v>0.86</x:v>
      </x:c>
      <x:c r="I72" s="3"/>
      <x:c r="J72" s="3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21" customHeight="1">
      <x:c r="A73" s="2"/>
      <x:c r="B73" s="2"/>
      <x:c r="C73" s="2" t="str">
        <x:v>Base</x:v>
      </x:c>
      <x:c r="D73" s="11" t="n">
        <x:v>0.55</x:v>
      </x:c>
      <x:c r="E73" s="11" t="n">
        <x:v>0.72</x:v>
      </x:c>
      <x:c r="F73" s="11" t="n">
        <x:v>0.82</x:v>
      </x:c>
      <x:c r="G73" s="11" t="n">
        <x:v>0.84</x:v>
      </x:c>
      <x:c r="H73" s="11" t="n">
        <x:v>0.86</x:v>
      </x:c>
      <x:c r="I73" s="3"/>
      <x:c r="J73" s="3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21" customHeight="1">
      <x:c r="A74" s="2"/>
      <x:c r="B74" s="2"/>
      <x:c r="C74" s="2" t="str">
        <x:v>Downside</x:v>
      </x:c>
      <x:c r="D74" s="11" t="n">
        <x:v>0.4</x:v>
      </x:c>
      <x:c r="E74" s="11" t="n">
        <x:v>0.52</x:v>
      </x:c>
      <x:c r="F74" s="11" t="n">
        <x:v>0.6</x:v>
      </x:c>
      <x:c r="G74" s="11" t="n">
        <x:v>0.63</x:v>
      </x:c>
      <x:c r="H74" s="11" t="n">
        <x:v>0.65</x:v>
      </x:c>
      <x:c r="I74" s="3"/>
      <x:c r="J74" s="3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21" customHeight="1">
      <x:c r="A75" s="2"/>
      <x:c r="B75" s="2"/>
      <x:c r="C75" s="2" t="str">
        <x:v>Upside</x:v>
      </x:c>
      <x:c r="D75" s="11" t="n">
        <x:v>0.65</x:v>
      </x:c>
      <x:c r="E75" s="11" t="n">
        <x:v>0.8</x:v>
      </x:c>
      <x:c r="F75" s="11" t="n">
        <x:v>0.88</x:v>
      </x:c>
      <x:c r="G75" s="11" t="n">
        <x:v>0.9</x:v>
      </x:c>
      <x:c r="H75" s="11" t="n">
        <x:v>0.9</x:v>
      </x:c>
      <x:c r="I75" s="3"/>
      <x:c r="J75" s="3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21" customHeight="1">
      <x:c r="A78" s="2"/>
      <x:c r="B78" s="2"/>
      <x:c r="C78" s="12" t="str">
        <x:v>Off peak paid utilization active</x:v>
      </x:c>
      <x:c r="D78" s="16" t="n">
        <x:f>CHOOSE($D$4,D79,D80,D81)</x:f>
        <x:v>0.22</x:v>
      </x:c>
      <x:c r="E78" s="16" t="n">
        <x:f>CHOOSE($D$4,E79,E80,E81)</x:f>
        <x:v>0.32</x:v>
      </x:c>
      <x:c r="F78" s="16" t="n">
        <x:f>CHOOSE($D$4,F79,F80,F81)</x:f>
        <x:v>0.4</x:v>
      </x:c>
      <x:c r="G78" s="16" t="n">
        <x:f>CHOOSE($D$4,G79,G80,G81)</x:f>
        <x:v>0.42</x:v>
      </x:c>
      <x:c r="H78" s="16" t="n">
        <x:f>CHOOSE($D$4,H79,H80,H81)</x:f>
        <x:v>0.44</x:v>
      </x:c>
      <x:c r="I78" s="3"/>
      <x:c r="J78" s="3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21" customHeight="1">
      <x:c r="A79" s="2"/>
      <x:c r="B79" s="2"/>
      <x:c r="C79" s="2" t="str">
        <x:v>Base</x:v>
      </x:c>
      <x:c r="D79" s="11" t="n">
        <x:v>0.22</x:v>
      </x:c>
      <x:c r="E79" s="11" t="n">
        <x:v>0.32</x:v>
      </x:c>
      <x:c r="F79" s="11" t="n">
        <x:v>0.4</x:v>
      </x:c>
      <x:c r="G79" s="11" t="n">
        <x:v>0.42</x:v>
      </x:c>
      <x:c r="H79" s="11" t="n">
        <x:v>0.44</x:v>
      </x:c>
      <x:c r="I79" s="3"/>
      <x:c r="J79" s="3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21" customHeight="1">
      <x:c r="A80" s="2"/>
      <x:c r="B80" s="2"/>
      <x:c r="C80" s="2" t="str">
        <x:v>Downside</x:v>
      </x:c>
      <x:c r="D80" s="11" t="n">
        <x:v>0.13</x:v>
      </x:c>
      <x:c r="E80" s="11" t="n">
        <x:v>0.2</x:v>
      </x:c>
      <x:c r="F80" s="11" t="n">
        <x:v>0.25</x:v>
      </x:c>
      <x:c r="G80" s="11" t="n">
        <x:v>0.27</x:v>
      </x:c>
      <x:c r="H80" s="11" t="n">
        <x:v>0.28</x:v>
      </x:c>
      <x:c r="I80" s="3"/>
      <x:c r="J80" s="3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21" customHeight="1">
      <x:c r="A81" s="2"/>
      <x:c r="B81" s="2"/>
      <x:c r="C81" s="2" t="str">
        <x:v>Upside</x:v>
      </x:c>
      <x:c r="D81" s="11" t="n">
        <x:v>0.3</x:v>
      </x:c>
      <x:c r="E81" s="11" t="n">
        <x:v>0.4</x:v>
      </x:c>
      <x:c r="F81" s="11" t="n">
        <x:v>0.48</x:v>
      </x:c>
      <x:c r="G81" s="11" t="n">
        <x:v>0.5</x:v>
      </x:c>
      <x:c r="H81" s="11" t="n">
        <x:v>0.52</x:v>
      </x:c>
      <x:c r="I81" s="3"/>
      <x:c r="J81" s="3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21" customHeight="1">
      <x:c r="A85" s="2"/>
      <x:c r="B85" s="2"/>
      <x:c r="C85" s="2" t="str">
        <x:v>Calendar seasonality multipliers</x:v>
      </x:c>
      <x:c r="D85" s="3"/>
      <x:c r="E85" s="3"/>
      <x:c r="F85" s="3"/>
      <x:c r="G85" s="3"/>
      <x:c r="H85" s="3"/>
      <x:c r="I85" s="3"/>
      <x:c r="J85" s="3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21" customHeight="1">
      <x:c r="A86" s="2"/>
      <x:c r="B86" s="2"/>
      <x:c r="C86" s="2"/>
      <x:c r="D86" s="3"/>
      <x:c r="E86" s="3"/>
      <x:c r="F86" s="3" t="str">
        <x:v>All utilization, seasonality, rent and build costs are planning assumptions.</x:v>
      </x:c>
      <x:c r="G86" s="3"/>
      <x:c r="H86" s="3"/>
      <x:c r="I86" s="3"/>
      <x:c r="J86" s="3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21" customHeight="1">
      <x:c r="A87" s="2"/>
      <x:c r="B87" s="2"/>
      <x:c r="C87" s="18" t="d">
        <x:v>2026-01-01T00:00:00.000Z</x:v>
      </x:c>
      <x:c r="D87" s="15" t="n">
        <x:v>1.1</x:v>
      </x:c>
      <x:c r="E87" s="3"/>
      <x:c r="F87" s="3"/>
      <x:c r="G87" s="3"/>
      <x:c r="H87" s="3"/>
      <x:c r="I87" s="3"/>
      <x:c r="J87" s="3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21" customHeight="1">
      <x:c r="A88" s="2"/>
      <x:c r="B88" s="2"/>
      <x:c r="C88" s="18" t="d">
        <x:v>2026-02-01T00:00:00.000Z</x:v>
      </x:c>
      <x:c r="D88" s="15" t="n">
        <x:v>1.1</x:v>
      </x:c>
      <x:c r="E88" s="3"/>
      <x:c r="F88" s="3" t="str">
        <x:v>Peak price windows: weekdays 14:30 to 20:30; weekends 10:00 to 19:00.</x:v>
      </x:c>
      <x:c r="G88" s="3"/>
      <x:c r="H88" s="3"/>
      <x:c r="I88" s="3"/>
      <x:c r="J88" s="3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21" customHeight="1">
      <x:c r="A89" s="2"/>
      <x:c r="B89" s="2"/>
      <x:c r="C89" s="18" t="d">
        <x:v>2026-03-01T00:00:00.000Z</x:v>
      </x:c>
      <x:c r="D89" s="15" t="n">
        <x:v>1.05</x:v>
      </x:c>
      <x:c r="E89" s="3"/>
      <x:c r="F89" s="3"/>
      <x:c r="G89" s="3"/>
      <x:c r="H89" s="3"/>
      <x:c r="I89" s="3"/>
      <x:c r="J89" s="3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21" customHeight="1">
      <x:c r="A90" s="2"/>
      <x:c r="B90" s="2"/>
      <x:c r="C90" s="18" t="d">
        <x:v>2026-04-01T00:00:00.000Z</x:v>
      </x:c>
      <x:c r="D90" s="15" t="n">
        <x:v>0.95</x:v>
      </x:c>
      <x:c r="E90" s="3"/>
      <x:c r="F90" s="3" t="str">
        <x:v>Indicative hours: 07:00 to 21:00 daily, nine saleable slots.</x:v>
      </x:c>
      <x:c r="G90" s="3"/>
      <x:c r="H90" s="3"/>
      <x:c r="I90" s="3"/>
      <x:c r="J90" s="3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21" customHeight="1">
      <x:c r="A91" s="2"/>
      <x:c r="B91" s="2"/>
      <x:c r="C91" s="18" t="d">
        <x:v>2026-05-01T00:00:00.000Z</x:v>
      </x:c>
      <x:c r="D91" s="15" t="n">
        <x:v>0.9</x:v>
      </x:c>
      <x:c r="E91" s="3"/>
      <x:c r="F91" s="3"/>
      <x:c r="G91" s="3"/>
      <x:c r="H91" s="3"/>
      <x:c r="I91" s="3"/>
      <x:c r="J91" s="3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21" customHeight="1">
      <x:c r="A92" s="2"/>
      <x:c r="B92" s="2"/>
      <x:c r="C92" s="18" t="d">
        <x:v>2026-06-01T00:00:00.000Z</x:v>
      </x:c>
      <x:c r="D92" s="15" t="n">
        <x:v>0.85</x:v>
      </x:c>
      <x:c r="E92" s="3"/>
      <x:c r="F92" s="3" t="str">
        <x:v>Prices flat for five years. Coach income and retail excluded.</x:v>
      </x:c>
      <x:c r="G92" s="3"/>
      <x:c r="H92" s="3"/>
      <x:c r="I92" s="3"/>
      <x:c r="J92" s="3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21" customHeight="1">
      <x:c r="A93" s="2"/>
      <x:c r="B93" s="2"/>
      <x:c r="C93" s="18" t="d">
        <x:v>2026-07-01T00:00:00.000Z</x:v>
      </x:c>
      <x:c r="D93" s="15" t="n">
        <x:v>0.8</x:v>
      </x:c>
      <x:c r="E93" s="3"/>
      <x:c r="F93" s="3"/>
      <x:c r="G93" s="3"/>
      <x:c r="H93" s="3"/>
      <x:c r="I93" s="3"/>
      <x:c r="J93" s="3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21" customHeight="1">
      <x:c r="A94" s="2"/>
      <x:c r="B94" s="2"/>
      <x:c r="C94" s="18" t="d">
        <x:v>2026-08-01T00:00:00.000Z</x:v>
      </x:c>
      <x:c r="D94" s="15" t="n">
        <x:v>0.85</x:v>
      </x:c>
      <x:c r="E94" s="3"/>
      <x:c r="F94" s="3"/>
      <x:c r="G94" s="3"/>
      <x:c r="H94" s="3"/>
      <x:c r="I94" s="3"/>
      <x:c r="J94" s="3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21" customHeight="1">
      <x:c r="A95" s="2"/>
      <x:c r="B95" s="2"/>
      <x:c r="C95" s="18" t="d">
        <x:v>2026-09-01T00:00:00.000Z</x:v>
      </x:c>
      <x:c r="D95" s="15" t="n">
        <x:v>0.95</x:v>
      </x:c>
      <x:c r="E95" s="3"/>
      <x:c r="F95" s="3"/>
      <x:c r="G95" s="3"/>
      <x:c r="H95" s="3"/>
      <x:c r="I95" s="3"/>
      <x:c r="J95" s="3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21" customHeight="1">
      <x:c r="A96" s="2"/>
      <x:c r="B96" s="2"/>
      <x:c r="C96" s="18" t="d">
        <x:v>2026-10-01T00:00:00.000Z</x:v>
      </x:c>
      <x:c r="D96" s="15" t="n">
        <x:v>1.1</x:v>
      </x:c>
      <x:c r="E96" s="3"/>
      <x:c r="F96" s="3"/>
      <x:c r="G96" s="3"/>
      <x:c r="H96" s="3"/>
      <x:c r="I96" s="3"/>
      <x:c r="J96" s="3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21" customHeight="1">
      <x:c r="A97" s="2"/>
      <x:c r="B97" s="2"/>
      <x:c r="C97" s="18" t="d">
        <x:v>2026-11-01T00:00:00.000Z</x:v>
      </x:c>
      <x:c r="D97" s="15" t="n">
        <x:v>1.15</x:v>
      </x:c>
      <x:c r="E97" s="3"/>
      <x:c r="F97" s="3"/>
      <x:c r="G97" s="3"/>
      <x:c r="H97" s="3"/>
      <x:c r="I97" s="3"/>
      <x:c r="J97" s="3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21" customHeight="1">
      <x:c r="A98" s="2"/>
      <x:c r="B98" s="2"/>
      <x:c r="C98" s="18" t="d">
        <x:v>2026-12-01T00:00:00.000Z</x:v>
      </x:c>
      <x:c r="D98" s="15" t="n">
        <x:v>1.2</x:v>
      </x:c>
      <x:c r="E98" s="3"/>
      <x:c r="F98" s="3"/>
      <x:c r="G98" s="3"/>
      <x:c r="H98" s="3"/>
      <x:c r="I98" s="3"/>
      <x:c r="J98" s="3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21" customHeight="1">
      <x:c r="A99" s="2"/>
      <x:c r="B99" s="2"/>
      <x:c r="C99" s="2"/>
      <x:c r="D99" s="3"/>
      <x:c r="E99" s="3"/>
      <x:c r="F99" s="3"/>
      <x:c r="G99" s="3"/>
      <x:c r="H99" s="3"/>
      <x:c r="I99" s="3"/>
      <x:c r="J99" s="3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21" customHeight="1">
      <x:c r="A100" s="2"/>
      <x:c r="B100" s="2"/>
      <x:c r="C100" s="2"/>
      <x:c r="D100" s="3"/>
      <x:c r="E100" s="3"/>
      <x:c r="F100" s="3"/>
      <x:c r="G100" s="3"/>
      <x:c r="H100" s="3"/>
      <x:c r="I100" s="3"/>
      <x:c r="J100" s="3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21" customHeight="1">
      <x:c r="A101" s="2"/>
      <x:c r="B101" s="2"/>
      <x:c r="C101" s="20" t="str">
        <x:v>Sources checked 25 October 2026. Costs need supplier and landlord quotes.</x:v>
      </x:c>
      <x:c r="D101" s="3"/>
      <x:c r="E101" s="3"/>
      <x:c r="F101" s="3"/>
      <x:c r="G101" s="3"/>
      <x:c r="H101" s="3"/>
      <x:c r="I101" s="3"/>
      <x:c r="J101" s="3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21" customHeight="1">
      <x:c r="A102" s="2"/>
      <x:c r="B102" s="2"/>
      <x:c r="C102" s="20" t="str">
        <x:v>FIP rules: 20 by 10 metre courts; 6 metre minimum height, 8 metres recommended for new sites.</x:v>
      </x:c>
      <x:c r="D102" s="3"/>
      <x:c r="E102" s="3"/>
      <x:c r="F102" s="3"/>
      <x:c r="G102" s="3"/>
      <x:c r="H102" s="3"/>
      <x:c r="I102" s="3"/>
      <x:c r="J102" s="3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21" customHeight="1">
      <x:c r="A103" s="2"/>
      <x:c r="B103" s="2"/>
      <x:c r="C103" s="20" t="str">
        <x:v>https://www.padelfip.com/wp-content/uploads/2025/12/FIP_Rules-of-Padel.pdf</x:v>
      </x:c>
      <x:c r="D103" s="3"/>
      <x:c r="E103" s="3"/>
      <x:c r="F103" s="3"/>
      <x:c r="G103" s="3"/>
      <x:c r="H103" s="3"/>
      <x:c r="I103" s="3"/>
      <x:c r="J103" s="3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21" customHeight="1">
      <x:c r="A104" s="2"/>
      <x:c r="B104" s="2"/>
      <x:c r="C104" s="20" t="str">
        <x:v>BC minimum wage: $18.25 from 1 June 2026. Wage and load budgets above are assumptions.</x:v>
      </x:c>
      <x:c r="D104" s="3"/>
      <x:c r="E104" s="3"/>
      <x:c r="F104" s="3"/>
      <x:c r="G104" s="3"/>
      <x:c r="H104" s="3"/>
      <x:c r="I104" s="3"/>
      <x:c r="J104" s="3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21" customHeight="1">
      <x:c r="A105" s="2"/>
      <x:c r="B105" s="2"/>
      <x:c r="C105" s="20" t="str">
        <x:v>https://news.gov.bc.ca/releases/2026LBR0002-000191</x:v>
      </x:c>
      <x:c r="D105" s="3"/>
      <x:c r="E105" s="3"/>
      <x:c r="F105" s="3"/>
      <x:c r="G105" s="3"/>
      <x:c r="H105" s="3"/>
      <x:c r="I105" s="3"/>
      <x:c r="J105" s="3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21" customHeight="1">
      <x:c r="A106" s="2"/>
      <x:c r="B106" s="2"/>
      <x:c r="C106" s="20" t="str">
        <x:v>Tax allowance uses general combined 27% as a conservative cash proxy on positive EBITDA.</x:v>
      </x:c>
      <x:c r="D106" s="3"/>
      <x:c r="E106" s="3"/>
      <x:c r="F106" s="3"/>
      <x:c r="G106" s="3"/>
      <x:c r="H106" s="3"/>
      <x:c r="I106" s="3"/>
      <x:c r="J106" s="3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21" customHeight="1">
      <x:c r="A107" s="2"/>
      <x:c r="B107" s="2"/>
      <x:c r="C107" s="20" t="str">
        <x:v>https://www.canada.ca/en/revenue-agency/services/tax/businesses/topics/corporations/corporation-tax-rates.html</x:v>
      </x:c>
      <x:c r="D107" s="3"/>
      <x:c r="E107" s="3"/>
      <x:c r="F107" s="3"/>
      <x:c r="G107" s="3"/>
      <x:c r="H107" s="3"/>
      <x:c r="I107" s="3"/>
      <x:c r="J107" s="3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21" customHeight="1">
      <x:c r="A108" s="2"/>
      <x:c r="B108" s="2"/>
      <x:c r="C108" s="20" t="str">
        <x:v>Lake Country advertises outdoor drop in $15 per person for two hours; not an indoor comparable.</x:v>
      </x:c>
      <x:c r="D108" s="3"/>
      <x:c r="E108" s="3"/>
      <x:c r="F108" s="3"/>
      <x:c r="G108" s="3"/>
      <x:c r="H108" s="3"/>
      <x:c r="I108" s="3"/>
      <x:c r="J108" s="3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21" customHeight="1">
      <x:c r="A109" s="2"/>
      <x:c r="B109" s="2"/>
      <x:c r="C109" s="20" t="str">
        <x:v>https://www.lakecountrypadel.com/book-online</x:v>
      </x:c>
      <x:c r="D109" s="3"/>
      <x:c r="E109" s="3"/>
      <x:c r="F109" s="3"/>
      <x:c r="G109" s="3"/>
      <x:c r="H109" s="3"/>
      <x:c r="I109" s="3"/>
      <x:c r="J109" s="3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21" customHeight="1">
      <x:c r="A110" s="2"/>
      <x:c r="B110" s="2"/>
      <x:c r="C110" s="20" t="str">
        <x:v>Beings of Leisure is the proposed project sponsor. No prior business assets or revenue transfer.</x:v>
      </x:c>
      <x:c r="D110" s="3"/>
      <x:c r="E110" s="3"/>
      <x:c r="F110" s="3"/>
      <x:c r="G110" s="3"/>
      <x:c r="H110" s="3"/>
      <x:c r="I110" s="3"/>
      <x:c r="J110" s="3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>
      <x:c r="C111" s="21" t="str">
        <x:v>No depreciation, tax loss offsets, debt, sale value or personal tax modeled. GST is removed from sales.</x:v>
      </x:c>
    </x:row>
    <x:row r="112">
      <x:c r="C112" s="21" t="str">
        <x:v>Setup allowances include nonrecoverable taxes. A recoverable GST timing float is held separately.</x:v>
      </x:c>
    </x:row>
    <x:row r="114">
      <x:c r="C114" s="71" t="str">
        <x:v>245 Beaver Lake Court theoretical location</x:v>
      </x:c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</x:row>
    <x:row r="116" ht="22" customHeight="1">
      <x:c r="C116" s="2" t="str">
        <x:v>Unit 150 area sq ft</x:v>
      </x:c>
      <x:c r="D116" s="72" t="n">
        <x:v>7500</x:v>
      </x:c>
      <x:c r="E116" s="3"/>
      <x:c r="F116" s="3" t="str">
        <x:v>Advertised areas; four-court layout unverified.</x:v>
      </x:c>
      <x:c r="G116" s="3"/>
      <x:c r="H116" s="3"/>
      <x:c r="I116" s="3"/>
      <x:c r="J116" s="3"/>
      <x:c r="K116" s="2"/>
      <x:c r="L116" s="2"/>
      <x:c r="M116" s="2"/>
      <x:c r="N116" s="2"/>
    </x:row>
    <x:row r="117" ht="22" customHeight="1">
      <x:c r="C117" s="2" t="str">
        <x:v>Unit 160 area sq ft</x:v>
      </x:c>
      <x:c r="D117" s="72" t="n">
        <x:v>7350</x:v>
      </x:c>
      <x:c r="E117" s="3"/>
      <x:c r="F117" s="3"/>
      <x:c r="G117" s="3"/>
      <x:c r="H117" s="3"/>
      <x:c r="I117" s="3"/>
      <x:c r="J117" s="3"/>
      <x:c r="K117" s="2"/>
      <x:c r="L117" s="2"/>
      <x:c r="M117" s="2"/>
      <x:c r="N117" s="2"/>
    </x:row>
    <x:row r="118" ht="22" customHeight="1">
      <x:c r="C118" s="2" t="str">
        <x:v>Combined area sq ft</x:v>
      </x:c>
      <x:c r="D118" s="75" t="n">
        <x:f>SUM(D116:D117)</x:f>
        <x:v>14850</x:v>
      </x:c>
      <x:c r="E118" s="3"/>
      <x:c r="F118" s="3"/>
      <x:c r="G118" s="3"/>
      <x:c r="H118" s="3"/>
      <x:c r="I118" s="3"/>
      <x:c r="J118" s="3"/>
      <x:c r="K118" s="2"/>
      <x:c r="L118" s="2"/>
      <x:c r="M118" s="2"/>
      <x:c r="N118" s="2"/>
    </x:row>
    <x:row r="119" ht="22" customHeight="1">
      <x:c r="C119" s="2" t="str">
        <x:v>Advertised clear height ft</x:v>
      </x:c>
      <x:c r="D119" s="72" t="n">
        <x:v>28</x:v>
      </x:c>
      <x:c r="E119" s="3"/>
      <x:c r="F119" s="3" t="str">
        <x:v>Verify the lowest unobstructed clearance across all court areas.</x:v>
      </x:c>
      <x:c r="G119" s="3"/>
      <x:c r="H119" s="3"/>
      <x:c r="I119" s="3"/>
      <x:c r="J119" s="3"/>
      <x:c r="K119" s="2"/>
      <x:c r="L119" s="2"/>
      <x:c r="M119" s="2"/>
      <x:c r="N119" s="2"/>
    </x:row>
    <x:row r="120" ht="22" customHeight="1">
      <x:c r="C120" s="2" t="str">
        <x:v>Advertised clear height m</x:v>
      </x:c>
      <x:c r="D120" s="76" t="n">
        <x:f>D119*0.3048</x:f>
        <x:v>8.5344</x:v>
      </x:c>
      <x:c r="E120" s="3"/>
      <x:c r="F120" s="3"/>
      <x:c r="G120" s="3"/>
      <x:c r="H120" s="3"/>
      <x:c r="I120" s="3"/>
      <x:c r="J120" s="3"/>
      <x:c r="K120" s="2"/>
      <x:c r="L120" s="2"/>
      <x:c r="M120" s="2"/>
      <x:c r="N120" s="2"/>
    </x:row>
    <x:row r="121" ht="22" customHeight="1">
      <x:c r="C121" s="2" t="str">
        <x:v>Target clear height m</x:v>
      </x:c>
      <x:c r="D121" s="28" t="n">
        <x:v>8</x:v>
      </x:c>
      <x:c r="E121" s="3"/>
      <x:c r="F121" s="3"/>
      <x:c r="G121" s="3"/>
      <x:c r="H121" s="3"/>
      <x:c r="I121" s="3"/>
      <x:c r="J121" s="3"/>
      <x:c r="K121" s="2"/>
      <x:c r="L121" s="2"/>
      <x:c r="M121" s="2"/>
      <x:c r="N121" s="2"/>
    </x:row>
    <x:row r="122" ht="22" customHeight="1">
      <x:c r="C122" s="2" t="str">
        <x:v>Base monthly occupancy budget CAD</x:v>
      </x:c>
      <x:c r="D122" s="77" t="n">
        <x:f>D46</x:f>
        <x:v>16000</x:v>
      </x:c>
      <x:c r="E122" s="3"/>
      <x:c r="F122" s="3" t="str">
        <x:v>Budget only; base rent plus additional rent, excluding GST and utilities.</x:v>
      </x:c>
      <x:c r="G122" s="3"/>
      <x:c r="H122" s="3"/>
      <x:c r="I122" s="3"/>
      <x:c r="J122" s="3"/>
      <x:c r="K122" s="2"/>
      <x:c r="L122" s="2"/>
      <x:c r="M122" s="2"/>
      <x:c r="N122" s="2"/>
    </x:row>
    <x:row r="123" ht="22" customHeight="1">
      <x:c r="C123" s="2" t="str">
        <x:v>Base annual occupancy budget CAD</x:v>
      </x:c>
      <x:c r="D123" s="77" t="n">
        <x:f>D122*12</x:f>
        <x:v>192000</x:v>
      </x:c>
      <x:c r="E123" s="3"/>
      <x:c r="F123" s="3"/>
      <x:c r="G123" s="3"/>
      <x:c r="H123" s="3"/>
      <x:c r="I123" s="3"/>
      <x:c r="J123" s="3"/>
      <x:c r="K123" s="2"/>
      <x:c r="L123" s="2"/>
      <x:c r="M123" s="2"/>
      <x:c r="N123" s="2"/>
    </x:row>
    <x:row r="124" ht="22" customHeight="1">
      <x:c r="C124" s="2" t="str">
        <x:v>Maximum combined rent CAD per sq ft</x:v>
      </x:c>
      <x:c r="D124" s="78" t="n">
        <x:f>D123/D118</x:f>
        <x:v>12.929292929292929</x:v>
      </x:c>
      <x:c r="E124" s="3"/>
      <x:c r="F124" s="3" t="str">
        <x:v>Annual budget ceiling, not a landlord asking rent.</x:v>
      </x:c>
      <x:c r="G124" s="3"/>
      <x:c r="H124" s="3"/>
      <x:c r="I124" s="3"/>
      <x:c r="J124" s="3"/>
      <x:c r="K124" s="2"/>
      <x:c r="L124" s="2"/>
      <x:c r="M124" s="2"/>
      <x:c r="N124" s="2"/>
    </x:row>
    <x:row r="126" ht="22" customHeight="1">
      <x:c r="C126" s="79" t="str">
        <x:v>Theoretical site only. Lease, recreational use approval, parking and court fit are unconfirmed.</x:v>
      </x:c>
      <x:c r="D126" s="79"/>
      <x:c r="E126" s="79"/>
      <x:c r="F126" s="79"/>
      <x:c r="G126" s="79"/>
      <x:c r="H126" s="79"/>
      <x:c r="I126" s="79"/>
      <x:c r="J126" s="79"/>
      <x:c r="K126" s="79"/>
      <x:c r="L126" s="79"/>
      <x:c r="M126" s="79"/>
      <x:c r="N126" s="79"/>
    </x:row>
    <x:row r="127" ht="22" customHeight="1">
      <x:c r="C127" s="79" t="str">
        <x:v>Source: Callahan Property Group, checked 25 October 2026. No rent is published.</x:v>
      </x:c>
      <x:c r="D127" s="79"/>
      <x:c r="E127" s="79"/>
      <x:c r="F127" s="79"/>
      <x:c r="G127" s="79"/>
      <x:c r="H127" s="79"/>
      <x:c r="I127" s="79"/>
      <x:c r="J127" s="79"/>
      <x:c r="K127" s="79"/>
      <x:c r="L127" s="79"/>
      <x:c r="M127" s="79"/>
      <x:c r="N127" s="79"/>
    </x:row>
    <x:row r="128" ht="22" customHeight="1">
      <x:c r="C128" s="79" t="str">
        <x:v>https://callahanpg.ca/commercial/industrial-space-for-lease-beaver-lake/</x:v>
      </x:c>
      <x:c r="D128" s="79"/>
      <x:c r="E128" s="79"/>
      <x:c r="F128" s="79"/>
      <x:c r="G128" s="79"/>
      <x:c r="H128" s="79"/>
      <x:c r="I128" s="79"/>
      <x:c r="J128" s="79"/>
      <x:c r="K128" s="79"/>
      <x:c r="L128" s="79"/>
      <x:c r="M128" s="79"/>
      <x:c r="N128" s="79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16" hidden="0" customWidth="1"/>
  </x:cols>
  <x:sheetData>
    <x:row r="1" ht="21" customHeight="1">
      <x:c r="A1" s="2"/>
      <x:c r="B1" s="2"/>
      <x:c r="C1" s="2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1" customHeight="1">
      <x:c r="A2" s="2"/>
      <x:c r="B2" s="2"/>
      <x:c r="C2" s="4" t="str">
        <x:v>Opening budget</x:v>
      </x:c>
      <x:c r="D2" s="5"/>
      <x:c r="E2" s="5"/>
      <x:c r="F2" s="5"/>
      <x:c r="G2" s="5"/>
      <x:c r="H2" s="5"/>
      <x:c r="I2" s="5"/>
      <x:c r="J2" s="5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3"/>
      <x:c r="E3" s="3"/>
      <x:c r="F3" s="3"/>
      <x:c r="G3" s="3"/>
      <x:c r="H3" s="3"/>
      <x:c r="I3" s="3"/>
      <x:c r="J3" s="3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"/>
      <x:c r="B4" s="2"/>
      <x:c r="C4" s="2" t="str">
        <x:v>Case selected</x:v>
      </x:c>
      <x:c r="D4" s="22" t="str">
        <x:f>'Inputs'!E4</x:f>
        <x:v>Base</x:v>
      </x:c>
      <x:c r="E4" s="3"/>
      <x:c r="F4" s="3"/>
      <x:c r="G4" s="3"/>
      <x:c r="H4" s="3"/>
      <x:c r="I4" s="3"/>
      <x:c r="J4" s="3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/>
      <x:c r="B5" s="2"/>
      <x:c r="C5" s="2"/>
      <x:c r="D5" s="3"/>
      <x:c r="E5" s="3"/>
      <x:c r="F5" s="3"/>
      <x:c r="G5" s="3"/>
      <x:c r="H5" s="3"/>
      <x:c r="I5" s="3"/>
      <x:c r="J5" s="3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"/>
      <x:c r="B6" s="2"/>
      <x:c r="C6" s="2"/>
      <x:c r="D6" s="3"/>
      <x:c r="E6" s="3"/>
      <x:c r="F6" s="3"/>
      <x:c r="G6" s="3"/>
      <x:c r="H6" s="3"/>
      <x:c r="I6" s="3"/>
      <x:c r="J6" s="3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"/>
      <x:c r="B7" s="2"/>
      <x:c r="C7" s="25" t="str">
        <x:v>Opening cash uses CAD</x:v>
      </x:c>
      <x:c r="D7" s="26" t="str">
        <x:v>Base allowance</x:v>
      </x:c>
      <x:c r="E7" s="26" t="str">
        <x:v>Active allowance</x:v>
      </x:c>
      <x:c r="F7" s="3"/>
      <x:c r="G7" s="3"/>
      <x:c r="H7" s="3"/>
      <x:c r="I7" s="3"/>
      <x:c r="J7" s="3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1" customHeight="1">
      <x:c r="A8" s="2"/>
      <x:c r="B8" s="2"/>
      <x:c r="C8" s="2" t="str">
        <x:v>Four courts delivered and installed</x:v>
      </x:c>
      <x:c r="D8" s="9" t="n">
        <x:v>180000</x:v>
      </x:c>
      <x:c r="E8" s="22" t="n">
        <x:f>D8*'Inputs'!D60</x:f>
        <x:v>180000</x:v>
      </x:c>
      <x:c r="F8" s="3"/>
      <x:c r="G8" s="3" t="str">
        <x:v>All costs are estimates. No quotes or site have been secured.</x:v>
      </x:c>
      <x:c r="H8" s="3"/>
      <x:c r="I8" s="3"/>
      <x:c r="J8" s="3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1" customHeight="1">
      <x:c r="A9" s="2"/>
      <x:c r="B9" s="2"/>
      <x:c r="C9" s="2" t="str">
        <x:v>Building floor services and washrooms</x:v>
      </x:c>
      <x:c r="D9" s="9" t="n">
        <x:v>140000</x:v>
      </x:c>
      <x:c r="E9" s="22" t="n">
        <x:f>D9*'Inputs'!D60</x:f>
        <x:v>140000</x:v>
      </x:c>
      <x:c r="F9" s="3"/>
      <x:c r="G9" s="3"/>
      <x:c r="H9" s="3"/>
      <x:c r="I9" s="3"/>
      <x:c r="J9" s="3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1" customHeight="1">
      <x:c r="A10" s="2"/>
      <x:c r="B10" s="2"/>
      <x:c r="C10" s="2" t="str">
        <x:v>Reception and modest seating</x:v>
      </x:c>
      <x:c r="D10" s="9" t="n">
        <x:v>20000</x:v>
      </x:c>
      <x:c r="E10" s="22" t="n">
        <x:f>D10*'Inputs'!D60</x:f>
        <x:v>20000</x:v>
      </x:c>
      <x:c r="F10" s="3"/>
      <x:c r="G10" s="3" t="str">
        <x:v>Contingency applies to courts, building, furniture, IT and equipment.</x:v>
      </x:c>
      <x:c r="H10" s="3"/>
      <x:c r="I10" s="3"/>
      <x:c r="J10" s="3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1" customHeight="1">
      <x:c r="A11" s="2"/>
      <x:c r="B11" s="2"/>
      <x:c r="C11" s="2" t="str">
        <x:v>Design permits and legal</x:v>
      </x:c>
      <x:c r="D11" s="9" t="n">
        <x:v>25000</x:v>
      </x:c>
      <x:c r="E11" s="8" t="n">
        <x:f>D11</x:f>
        <x:v>25000</x:v>
      </x:c>
      <x:c r="F11" s="3"/>
      <x:c r="G11" s="3"/>
      <x:c r="H11" s="3"/>
      <x:c r="I11" s="3"/>
      <x:c r="J11" s="3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1" customHeight="1">
      <x:c r="A12" s="2"/>
      <x:c r="B12" s="2"/>
      <x:c r="C12" s="2" t="str">
        <x:v>Booking access security and IT</x:v>
      </x:c>
      <x:c r="D12" s="9" t="n">
        <x:v>12000</x:v>
      </x:c>
      <x:c r="E12" s="22" t="n">
        <x:f>D12*'Inputs'!D60</x:f>
        <x:v>12000</x:v>
      </x:c>
      <x:c r="F12" s="3"/>
      <x:c r="G12" s="3" t="str">
        <x:v>GST float remains unavailable in this conservative cash model.</x:v>
      </x:c>
      <x:c r="H12" s="3"/>
      <x:c r="I12" s="3"/>
      <x:c r="J12" s="3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1" customHeight="1">
      <x:c r="A13" s="2"/>
      <x:c r="B13" s="2"/>
      <x:c r="C13" s="2" t="str">
        <x:v>Rackets stock and equipment</x:v>
      </x:c>
      <x:c r="D13" s="9" t="n">
        <x:v>8000</x:v>
      </x:c>
      <x:c r="E13" s="22" t="n">
        <x:f>D13*'Inputs'!D60</x:f>
        <x:v>8000</x:v>
      </x:c>
      <x:c r="F13" s="3"/>
      <x:c r="G13" s="3"/>
      <x:c r="H13" s="3"/>
      <x:c r="I13" s="3"/>
      <x:c r="J13" s="3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1" customHeight="1">
      <x:c r="A14" s="2"/>
      <x:c r="B14" s="2"/>
      <x:c r="C14" s="2" t="str">
        <x:v>Refundable lease and utility deposits</x:v>
      </x:c>
      <x:c r="D14" s="9" t="n">
        <x:v>35000</x:v>
      </x:c>
      <x:c r="E14" s="8" t="n">
        <x:f>D14</x:f>
        <x:v>35000</x:v>
      </x:c>
      <x:c r="F14" s="3"/>
      <x:c r="G14" s="3" t="str">
        <x:v>No landlord contribution or debt assumed.</x:v>
      </x:c>
      <x:c r="H14" s="3"/>
      <x:c r="I14" s="3"/>
      <x:c r="J14" s="3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1" customHeight="1">
      <x:c r="A15" s="2"/>
      <x:c r="B15" s="2"/>
      <x:c r="C15" s="2" t="str">
        <x:v>Preopening rent per month</x:v>
      </x:c>
      <x:c r="D15" s="9" t="n">
        <x:v>15000</x:v>
      </x:c>
      <x:c r="E15" s="22" t="n">
        <x:f>D15*'Inputs'!D37</x:f>
        <x:v>45000</x:v>
      </x:c>
      <x:c r="F15" s="3"/>
      <x:c r="G15" s="3"/>
      <x:c r="H15" s="3"/>
      <x:c r="I15" s="3"/>
      <x:c r="J15" s="3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21" customHeight="1">
      <x:c r="A16" s="2"/>
      <x:c r="B16" s="2"/>
      <x:c r="C16" s="2" t="str">
        <x:v>Preopening staffing and training</x:v>
      </x:c>
      <x:c r="D16" s="9" t="n">
        <x:v>25000</x:v>
      </x:c>
      <x:c r="E16" s="22" t="n">
        <x:f>D16/3*'Inputs'!D37</x:f>
        <x:v>25000</x:v>
      </x:c>
      <x:c r="F16" s="3"/>
      <x:c r="G16" s="3" t="str">
        <x:v>Deposits are cash uses, not operating expenses.</x:v>
      </x:c>
      <x:c r="H16" s="3"/>
      <x:c r="I16" s="3"/>
      <x:c r="J16" s="3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21" customHeight="1">
      <x:c r="A17" s="2"/>
      <x:c r="B17" s="2"/>
      <x:c r="C17" s="2" t="str">
        <x:v>Launch marketing</x:v>
      </x:c>
      <x:c r="D17" s="9" t="n">
        <x:v>12000</x:v>
      </x:c>
      <x:c r="E17" s="8" t="n">
        <x:f>D17</x:f>
        <x:v>12000</x:v>
      </x:c>
      <x:c r="F17" s="3"/>
      <x:c r="G17" s="3"/>
      <x:c r="H17" s="3"/>
      <x:c r="I17" s="3"/>
      <x:c r="J17" s="3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21" customHeight="1">
      <x:c r="A18" s="2"/>
      <x:c r="B18" s="2"/>
      <x:c r="C18" s="2" t="str">
        <x:v>BOL launch travel</x:v>
      </x:c>
      <x:c r="D18" s="9" t="n">
        <x:v>8000</x:v>
      </x:c>
      <x:c r="E18" s="8" t="n">
        <x:f>D18</x:f>
        <x:v>8000</x:v>
      </x:c>
      <x:c r="F18" s="3"/>
      <x:c r="G18" s="3"/>
      <x:c r="H18" s="3"/>
      <x:c r="I18" s="3"/>
      <x:c r="J18" s="3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1" customHeight="1">
      <x:c r="A19" s="2"/>
      <x:c r="B19" s="2"/>
      <x:c r="C19" s="2"/>
      <x:c r="D19" s="3"/>
      <x:c r="E19" s="3"/>
      <x:c r="F19" s="3"/>
      <x:c r="G19" s="3"/>
      <x:c r="H19" s="3"/>
      <x:c r="I19" s="3"/>
      <x:c r="J19" s="3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1" customHeight="1">
      <x:c r="A20" s="2"/>
      <x:c r="B20" s="2"/>
      <x:c r="C20" s="2" t="str">
        <x:v>Construction contingency rate</x:v>
      </x:c>
      <x:c r="D20" s="11" t="n">
        <x:v>0.2</x:v>
      </x:c>
      <x:c r="E20" s="3"/>
      <x:c r="F20" s="3"/>
      <x:c r="G20" s="3"/>
      <x:c r="H20" s="3"/>
      <x:c r="I20" s="3"/>
      <x:c r="J20" s="3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1" customHeight="1">
      <x:c r="A21" s="2"/>
      <x:c r="B21" s="2"/>
      <x:c r="C21" s="2" t="str">
        <x:v>Construction contingency</x:v>
      </x:c>
      <x:c r="D21" s="3"/>
      <x:c r="E21" s="8" t="n">
        <x:f>SUM(E8:E10,E12:E13)*D20</x:f>
        <x:v>72000</x:v>
      </x:c>
      <x:c r="F21" s="3"/>
      <x:c r="G21" s="3"/>
      <x:c r="H21" s="3"/>
      <x:c r="I21" s="3"/>
      <x:c r="J21" s="3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1" customHeight="1">
      <x:c r="A22" s="2"/>
      <x:c r="B22" s="2"/>
      <x:c r="C22" s="2" t="str">
        <x:v>Additional opening delay cash</x:v>
      </x:c>
      <x:c r="D22" s="3"/>
      <x:c r="E22" s="22" t="n">
        <x:f>'Inputs'!D65*'Inputs'!D38</x:f>
        <x:v>0</x:v>
      </x:c>
      <x:c r="F22" s="3"/>
      <x:c r="G22" s="3"/>
      <x:c r="H22" s="3"/>
      <x:c r="I22" s="3"/>
      <x:c r="J22" s="3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1" customHeight="1">
      <x:c r="A23" s="2"/>
      <x:c r="B23" s="2"/>
      <x:c r="C23" s="2" t="str">
        <x:v>Recoverable GST timing float</x:v>
      </x:c>
      <x:c r="D23" s="3" t="n">
        <x:v>25000</x:v>
      </x:c>
      <x:c r="E23" s="8" t="n">
        <x:f>D23</x:f>
        <x:v>25000</x:v>
      </x:c>
      <x:c r="F23" s="3"/>
      <x:c r="G23" s="3"/>
      <x:c r="H23" s="3"/>
      <x:c r="I23" s="3"/>
      <x:c r="J23" s="3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1" customHeight="1">
      <x:c r="A24" s="2"/>
      <x:c r="B24" s="2"/>
      <x:c r="C24" s="59" t="str">
        <x:v>Total preopening cash uses</x:v>
      </x:c>
      <x:c r="D24" s="62"/>
      <x:c r="E24" s="60" t="n">
        <x:f>SUM(E8:E18,E21:E23)</x:f>
        <x:v>607000</x:v>
      </x:c>
      <x:c r="F24" s="3"/>
      <x:c r="G24" s="3"/>
      <x:c r="H24" s="3"/>
      <x:c r="I24" s="3"/>
      <x:c r="J24" s="3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1" customHeight="1">
      <x:c r="A25" s="2"/>
      <x:c r="B25" s="2"/>
      <x:c r="C25" s="2" t="str">
        <x:v>Minimum opening operating reserve</x:v>
      </x:c>
      <x:c r="D25" s="3"/>
      <x:c r="E25" s="22" t="n">
        <x:f>'Inputs'!D19</x:f>
        <x:v>350000</x:v>
      </x:c>
      <x:c r="F25" s="3"/>
      <x:c r="G25" s="3"/>
      <x:c r="H25" s="3"/>
      <x:c r="I25" s="3"/>
      <x:c r="J25" s="3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1" customHeight="1">
      <x:c r="A26" s="2"/>
      <x:c r="B26" s="2"/>
      <x:c r="C26" s="59" t="str">
        <x:v>Total required capitalization</x:v>
      </x:c>
      <x:c r="D26" s="62"/>
      <x:c r="E26" s="60" t="n">
        <x:f>SUM(E24:E25)</x:f>
        <x:v>957000</x:v>
      </x:c>
      <x:c r="F26" s="3"/>
      <x:c r="G26" s="3"/>
      <x:c r="H26" s="3"/>
      <x:c r="I26" s="3"/>
      <x:c r="J26" s="3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1" customHeight="1">
      <x:c r="A27" s="2"/>
      <x:c r="B27" s="2"/>
      <x:c r="C27" s="2"/>
      <x:c r="D27" s="3"/>
      <x:c r="E27" s="3"/>
      <x:c r="F27" s="3"/>
      <x:c r="G27" s="3"/>
      <x:c r="H27" s="3"/>
      <x:c r="I27" s="3"/>
      <x:c r="J27" s="3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1" customHeight="1">
      <x:c r="A28" s="2"/>
      <x:c r="B28" s="2"/>
      <x:c r="C28" s="2" t="str">
        <x:v>Illustrative equity financing</x:v>
      </x:c>
      <x:c r="D28" s="3"/>
      <x:c r="E28" s="22" t="n">
        <x:f>'Inputs'!D18</x:f>
        <x:v>1000000</x:v>
      </x:c>
      <x:c r="F28" s="3"/>
      <x:c r="G28" s="3"/>
      <x:c r="H28" s="3"/>
      <x:c r="I28" s="3"/>
      <x:c r="J28" s="3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1" customHeight="1">
      <x:c r="A29" s="2"/>
      <x:c r="B29" s="2"/>
      <x:c r="C29" s="59" t="str">
        <x:v>Cash available on opening</x:v>
      </x:c>
      <x:c r="D29" s="62"/>
      <x:c r="E29" s="60" t="n">
        <x:f>E28-E24</x:f>
        <x:v>393000</x:v>
      </x:c>
      <x:c r="F29" s="3"/>
      <x:c r="G29" s="3"/>
      <x:c r="H29" s="3"/>
      <x:c r="I29" s="3"/>
      <x:c r="J29" s="3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1" customHeight="1">
      <x:c r="A30" s="2"/>
      <x:c r="B30" s="2"/>
      <x:c r="C30" s="2" t="str">
        <x:v>Funding above or below requirement</x:v>
      </x:c>
      <x:c r="D30" s="3"/>
      <x:c r="E30" s="8" t="n">
        <x:f>E28-E26</x:f>
        <x:v>43000</x:v>
      </x:c>
      <x:c r="F30" s="3"/>
      <x:c r="G30" s="3"/>
      <x:c r="H30" s="3"/>
      <x:c r="I30" s="3"/>
      <x:c r="J30" s="3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1" customHeight="1">
      <x:c r="A31" s="2"/>
      <x:c r="B31" s="2"/>
      <x:c r="C31" s="2" t="str">
        <x:v>Uncommitted required capital</x:v>
      </x:c>
      <x:c r="D31" s="3"/>
      <x:c r="E31" s="22" t="n">
        <x:f>MAX(0,E26-'Inputs'!D21)</x:f>
        <x:v>957000</x:v>
      </x:c>
      <x:c r="F31" s="3"/>
      <x:c r="G31" s="3"/>
      <x:c r="H31" s="3"/>
      <x:c r="I31" s="3"/>
      <x:c r="J31" s="3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1" customHeight="1">
      <x:c r="A32" s="2"/>
      <x:c r="B32" s="2"/>
      <x:c r="C32" s="2"/>
      <x:c r="D32" s="3"/>
      <x:c r="E32" s="3"/>
      <x:c r="F32" s="3"/>
      <x:c r="G32" s="3"/>
      <x:c r="H32" s="3"/>
      <x:c r="I32" s="3"/>
      <x:c r="J32" s="3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1" customHeight="1">
      <x:c r="A33" s="2"/>
      <x:c r="B33" s="2"/>
      <x:c r="C33" s="2"/>
      <x:c r="D33" s="3"/>
      <x:c r="E33" s="3"/>
      <x:c r="F33" s="3"/>
      <x:c r="G33" s="3"/>
      <x:c r="H33" s="3"/>
      <x:c r="I33" s="3"/>
      <x:c r="J33" s="3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1" customHeight="1">
      <x:c r="A34" s="2"/>
      <x:c r="B34" s="2"/>
      <x:c r="C34" s="2" t="str">
        <x:v>Local staffing and fixed monthly costs</x:v>
      </x:c>
      <x:c r="D34" s="3"/>
      <x:c r="E34" s="3"/>
      <x:c r="F34" s="3"/>
      <x:c r="G34" s="3"/>
      <x:c r="H34" s="3"/>
      <x:c r="I34" s="3"/>
      <x:c r="J34" s="3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1" customHeight="1">
      <x:c r="A35" s="2"/>
      <x:c r="B35" s="2"/>
      <x:c r="C35" s="2"/>
      <x:c r="D35" s="3"/>
      <x:c r="E35" s="3"/>
      <x:c r="F35" s="3"/>
      <x:c r="G35" s="3"/>
      <x:c r="H35" s="3"/>
      <x:c r="I35" s="3"/>
      <x:c r="J35" s="3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1" customHeight="1">
      <x:c r="A36" s="2"/>
      <x:c r="B36" s="2"/>
      <x:c r="C36" s="2" t="str">
        <x:v>Occupancy</x:v>
      </x:c>
      <x:c r="D36" s="3"/>
      <x:c r="E36" s="22" t="n">
        <x:f>'Inputs'!D45</x:f>
        <x:v>16000</x:v>
      </x:c>
      <x:c r="F36" s="3"/>
      <x:c r="G36" s="3"/>
      <x:c r="H36" s="3"/>
      <x:c r="I36" s="3"/>
      <x:c r="J36" s="3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1" customHeight="1">
      <x:c r="A37" s="2"/>
      <x:c r="B37" s="2"/>
      <x:c r="C37" s="2" t="str">
        <x:v>General manager including load</x:v>
      </x:c>
      <x:c r="D37" s="3"/>
      <x:c r="E37" s="22" t="n">
        <x:f>'Inputs'!D22/12*(1+'Inputs'!D23)</x:f>
        <x:v>7474.999999999999</x:v>
      </x:c>
      <x:c r="F37" s="3"/>
      <x:c r="G37" s="3"/>
      <x:c r="H37" s="3"/>
      <x:c r="I37" s="3"/>
      <x:c r="J37" s="3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1" customHeight="1">
      <x:c r="A38" s="2"/>
      <x:c r="B38" s="2"/>
      <x:c r="C38" s="2" t="str">
        <x:v>Assistant staff including load</x:v>
      </x:c>
      <x:c r="D38" s="3"/>
      <x:c r="E38" s="22" t="n">
        <x:f>'Inputs'!D24*52/12*'Inputs'!D25*(1+'Inputs'!D23)</x:f>
        <x:v>9318.833333333332</x:v>
      </x:c>
      <x:c r="F38" s="3"/>
      <x:c r="G38" s="3"/>
      <x:c r="H38" s="3"/>
      <x:c r="I38" s="3"/>
      <x:c r="J38" s="3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1" customHeight="1">
      <x:c r="A39" s="2"/>
      <x:c r="B39" s="2"/>
      <x:c r="C39" s="2" t="str">
        <x:v>BOL oversight</x:v>
      </x:c>
      <x:c r="D39" s="3"/>
      <x:c r="E39" s="22" t="n">
        <x:f>'Inputs'!D26</x:f>
        <x:v>3000</x:v>
      </x:c>
      <x:c r="F39" s="3"/>
      <x:c r="G39" s="3"/>
      <x:c r="H39" s="3"/>
      <x:c r="I39" s="3"/>
      <x:c r="J39" s="3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1" customHeight="1">
      <x:c r="A40" s="2"/>
      <x:c r="B40" s="2"/>
      <x:c r="C40" s="2" t="str">
        <x:v>Travel</x:v>
      </x:c>
      <x:c r="D40" s="3"/>
      <x:c r="E40" s="22" t="n">
        <x:f>'Inputs'!D27</x:f>
        <x:v>1000</x:v>
      </x:c>
      <x:c r="F40" s="3"/>
      <x:c r="G40" s="3"/>
      <x:c r="H40" s="3"/>
      <x:c r="I40" s="3"/>
      <x:c r="J40" s="3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1" customHeight="1">
      <x:c r="A41" s="2"/>
      <x:c r="B41" s="2"/>
      <x:c r="C41" s="2" t="str">
        <x:v>Utilities</x:v>
      </x:c>
      <x:c r="D41" s="3"/>
      <x:c r="E41" s="22" t="n">
        <x:f>'Inputs'!D28</x:f>
        <x:v>3500</x:v>
      </x:c>
      <x:c r="F41" s="3"/>
      <x:c r="G41" s="3"/>
      <x:c r="H41" s="3"/>
      <x:c r="I41" s="3"/>
      <x:c r="J41" s="3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1" customHeight="1">
      <x:c r="A42" s="2"/>
      <x:c r="B42" s="2"/>
      <x:c r="C42" s="2" t="str">
        <x:v>Cleaning</x:v>
      </x:c>
      <x:c r="D42" s="3"/>
      <x:c r="E42" s="22" t="n">
        <x:f>'Inputs'!D29</x:f>
        <x:v>1200</x:v>
      </x:c>
      <x:c r="F42" s="3"/>
      <x:c r="G42" s="3"/>
      <x:c r="H42" s="3"/>
      <x:c r="I42" s="3"/>
      <x:c r="J42" s="3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1" customHeight="1">
      <x:c r="A43" s="2"/>
      <x:c r="B43" s="2"/>
      <x:c r="C43" s="2" t="str">
        <x:v>Insurance</x:v>
      </x:c>
      <x:c r="D43" s="3"/>
      <x:c r="E43" s="22" t="n">
        <x:f>'Inputs'!D30</x:f>
        <x:v>800</x:v>
      </x:c>
      <x:c r="F43" s="3"/>
      <x:c r="G43" s="3"/>
      <x:c r="H43" s="3"/>
      <x:c r="I43" s="3"/>
      <x:c r="J43" s="3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1" customHeight="1">
      <x:c r="A44" s="2"/>
      <x:c r="B44" s="2"/>
      <x:c r="C44" s="2" t="str">
        <x:v>Software and security</x:v>
      </x:c>
      <x:c r="D44" s="3"/>
      <x:c r="E44" s="22" t="n">
        <x:f>'Inputs'!D31</x:f>
        <x:v>600</x:v>
      </x:c>
      <x:c r="F44" s="3"/>
      <x:c r="G44" s="3"/>
      <x:c r="H44" s="3"/>
      <x:c r="I44" s="3"/>
      <x:c r="J44" s="3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1" customHeight="1">
      <x:c r="A45" s="2"/>
      <x:c r="B45" s="2"/>
      <x:c r="C45" s="2" t="str">
        <x:v>Accounting and legal</x:v>
      </x:c>
      <x:c r="D45" s="3"/>
      <x:c r="E45" s="22" t="n">
        <x:f>'Inputs'!D32</x:f>
        <x:v>1000</x:v>
      </x:c>
      <x:c r="F45" s="3"/>
      <x:c r="G45" s="3"/>
      <x:c r="H45" s="3"/>
      <x:c r="I45" s="3"/>
      <x:c r="J45" s="3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1" customHeight="1">
      <x:c r="A46" s="2"/>
      <x:c r="B46" s="2"/>
      <x:c r="C46" s="2" t="str">
        <x:v>Marketing</x:v>
      </x:c>
      <x:c r="D46" s="3"/>
      <x:c r="E46" s="22" t="n">
        <x:f>'Inputs'!D33</x:f>
        <x:v>2500</x:v>
      </x:c>
      <x:c r="F46" s="3"/>
      <x:c r="G46" s="3"/>
      <x:c r="H46" s="3"/>
      <x:c r="I46" s="3"/>
      <x:c r="J46" s="3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1" customHeight="1">
      <x:c r="A47" s="2"/>
      <x:c r="B47" s="2"/>
      <x:c r="C47" s="2" t="str">
        <x:v>Routine repairs</x:v>
      </x:c>
      <x:c r="D47" s="3"/>
      <x:c r="E47" s="22" t="n">
        <x:f>'Inputs'!D34</x:f>
        <x:v>700</x:v>
      </x:c>
      <x:c r="F47" s="3"/>
      <x:c r="G47" s="3"/>
      <x:c r="H47" s="3"/>
      <x:c r="I47" s="3"/>
      <x:c r="J47" s="3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1" customHeight="1">
      <x:c r="A48" s="2"/>
      <x:c r="B48" s="2"/>
      <x:c r="C48" s="2" t="str">
        <x:v>Other</x:v>
      </x:c>
      <x:c r="D48" s="3"/>
      <x:c r="E48" s="22" t="n">
        <x:f>'Inputs'!D35</x:f>
        <x:v>500</x:v>
      </x:c>
      <x:c r="F48" s="3"/>
      <x:c r="G48" s="3"/>
      <x:c r="H48" s="3"/>
      <x:c r="I48" s="3"/>
      <x:c r="J48" s="3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1" customHeight="1">
      <x:c r="A49" s="2"/>
      <x:c r="B49" s="2"/>
      <x:c r="C49" s="2" t="str">
        <x:v>Manager bonus allowance</x:v>
      </x:c>
      <x:c r="D49" s="3"/>
      <x:c r="E49" s="22" t="n">
        <x:f>'Inputs'!D36</x:f>
        <x:v>500</x:v>
      </x:c>
      <x:c r="F49" s="3"/>
      <x:c r="G49" s="3"/>
      <x:c r="H49" s="3"/>
      <x:c r="I49" s="3"/>
      <x:c r="J49" s="3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1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1" customHeight="1">
      <x:c r="A51" s="2"/>
      <x:c r="B51" s="2"/>
      <x:c r="C51" s="59" t="str">
        <x:v>Total fixed monthly operating costs</x:v>
      </x:c>
      <x:c r="D51" s="62"/>
      <x:c r="E51" s="60" t="n">
        <x:f>SUM(E36:E49)</x:f>
        <x:v>48093.83333333333</x:v>
      </x:c>
      <x:c r="F51" s="3"/>
      <x:c r="G51" s="3"/>
      <x:c r="H51" s="3"/>
      <x:c r="I51" s="3"/>
      <x:c r="J51" s="3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1" customHeight="1">
      <x:c r="A52" s="2"/>
      <x:c r="B52" s="2"/>
      <x:c r="C52" s="2" t="str">
        <x:v>Three months of fixed costs</x:v>
      </x:c>
      <x:c r="D52" s="3"/>
      <x:c r="E52" s="8" t="n">
        <x:f>E51*3</x:f>
        <x:v>144281.5</x:v>
      </x:c>
      <x:c r="F52" s="3"/>
      <x:c r="G52" s="3"/>
      <x:c r="H52" s="3"/>
      <x:c r="I52" s="3"/>
      <x:c r="J52" s="3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1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1" customHeight="1">
      <x:c r="A54" s="2"/>
      <x:c r="B54" s="2"/>
      <x:c r="C54" s="2"/>
      <x:c r="D54" s="3"/>
      <x:c r="E54" s="3"/>
      <x:c r="F54" s="3"/>
      <x:c r="G54" s="3"/>
      <x:c r="H54" s="3"/>
      <x:c r="I54" s="3"/>
      <x:c r="J54" s="3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1" customHeight="1">
      <x:c r="A55" s="2"/>
      <x:c r="B55" s="2"/>
      <x:c r="C55" s="2"/>
      <x:c r="D55" s="3"/>
      <x:c r="E55" s="3"/>
      <x:c r="F55" s="3"/>
      <x:c r="G55" s="3"/>
      <x:c r="H55" s="3"/>
      <x:c r="I55" s="3"/>
      <x:c r="J55" s="3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21" customHeight="1">
      <x:c r="A56" s="2"/>
      <x:c r="B56" s="2"/>
      <x:c r="C56" s="2"/>
      <x:c r="D56" s="3"/>
      <x:c r="E56" s="3"/>
      <x:c r="F56" s="3"/>
      <x:c r="G56" s="3"/>
      <x:c r="H56" s="3"/>
      <x:c r="I56" s="3"/>
      <x:c r="J56" s="3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21" customHeight="1">
      <x:c r="A57" s="2"/>
      <x:c r="B57" s="2"/>
      <x:c r="C57" s="2"/>
      <x:c r="D57" s="3"/>
      <x:c r="E57" s="3"/>
      <x:c r="F57" s="3"/>
      <x:c r="G57" s="3"/>
      <x:c r="H57" s="3"/>
      <x:c r="I57" s="3"/>
      <x:c r="J57" s="3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21" customHeight="1">
      <x:c r="A58" s="2"/>
      <x:c r="B58" s="2"/>
      <x:c r="C58" s="2"/>
      <x:c r="D58" s="3"/>
      <x:c r="E58" s="3"/>
      <x:c r="F58" s="3"/>
      <x:c r="G58" s="3"/>
      <x:c r="H58" s="3"/>
      <x:c r="I58" s="3"/>
      <x:c r="J58" s="3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21" customHeight="1">
      <x:c r="A60" s="2"/>
      <x:c r="B60" s="2"/>
      <x:c r="C60" s="2"/>
      <x:c r="D60" s="3"/>
      <x:c r="E60" s="3"/>
      <x:c r="F60" s="3"/>
      <x:c r="G60" s="3"/>
      <x:c r="H60" s="3"/>
      <x:c r="I60" s="3"/>
      <x:c r="J60" s="3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21" customHeight="1">
      <x:c r="A61" s="2"/>
      <x:c r="B61" s="2"/>
      <x:c r="C61" s="2"/>
      <x:c r="D61" s="3"/>
      <x:c r="E61" s="3"/>
      <x:c r="F61" s="3"/>
      <x:c r="G61" s="3"/>
      <x:c r="H61" s="3"/>
      <x:c r="I61" s="3"/>
      <x:c r="J61" s="3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21" customHeight="1">
      <x:c r="A62" s="2"/>
      <x:c r="B62" s="2"/>
      <x:c r="C62" s="2"/>
      <x:c r="D62" s="3"/>
      <x:c r="E62" s="3"/>
      <x:c r="F62" s="3"/>
      <x:c r="G62" s="3"/>
      <x:c r="H62" s="3"/>
      <x:c r="I62" s="3"/>
      <x:c r="J62" s="3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21" customHeight="1">
      <x:c r="A63" s="2"/>
      <x:c r="B63" s="2"/>
      <x:c r="C63" s="2"/>
      <x:c r="D63" s="3"/>
      <x:c r="E63" s="3"/>
      <x:c r="F63" s="3"/>
      <x:c r="G63" s="3"/>
      <x:c r="H63" s="3"/>
      <x:c r="I63" s="3"/>
      <x:c r="J63" s="3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21" customHeight="1">
      <x:c r="A64" s="2"/>
      <x:c r="B64" s="2"/>
      <x:c r="C64" s="2"/>
      <x:c r="D64" s="3"/>
      <x:c r="E64" s="3"/>
      <x:c r="F64" s="3"/>
      <x:c r="G64" s="3"/>
      <x:c r="H64" s="3"/>
      <x:c r="I64" s="3"/>
      <x:c r="J64" s="3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21" customHeight="1">
      <x:c r="A67" s="2"/>
      <x:c r="B67" s="2"/>
      <x:c r="C67" s="2"/>
      <x:c r="D67" s="3"/>
      <x:c r="E67" s="3"/>
      <x:c r="F67" s="3"/>
      <x:c r="G67" s="3"/>
      <x:c r="H67" s="3"/>
      <x:c r="I67" s="3"/>
      <x:c r="J67" s="3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21" customHeight="1">
      <x:c r="A68" s="2"/>
      <x:c r="B68" s="2"/>
      <x:c r="C68" s="2"/>
      <x:c r="D68" s="3"/>
      <x:c r="E68" s="3"/>
      <x:c r="F68" s="3"/>
      <x:c r="G68" s="3"/>
      <x:c r="H68" s="3"/>
      <x:c r="I68" s="3"/>
      <x:c r="J68" s="3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21" customHeight="1">
      <x:c r="A69" s="2"/>
      <x:c r="B69" s="2"/>
      <x:c r="C69" s="2"/>
      <x:c r="D69" s="3"/>
      <x:c r="E69" s="3"/>
      <x:c r="F69" s="3"/>
      <x:c r="G69" s="3"/>
      <x:c r="H69" s="3"/>
      <x:c r="I69" s="3"/>
      <x:c r="J69" s="3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21" customHeight="1">
      <x:c r="A70" s="2"/>
      <x:c r="B70" s="2"/>
      <x:c r="C70" s="2"/>
      <x:c r="D70" s="3"/>
      <x:c r="E70" s="3"/>
      <x:c r="F70" s="3"/>
      <x:c r="G70" s="3"/>
      <x:c r="H70" s="3"/>
      <x:c r="I70" s="3"/>
      <x:c r="J70" s="3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21" customHeight="1">
      <x:c r="A91" s="2"/>
      <x:c r="B91" s="2"/>
      <x:c r="C91" s="2"/>
      <x:c r="D91" s="3"/>
      <x:c r="E91" s="3"/>
      <x:c r="F91" s="3"/>
      <x:c r="G91" s="3"/>
      <x:c r="H91" s="3"/>
      <x:c r="I91" s="3"/>
      <x:c r="J91" s="3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21" customHeight="1">
      <x:c r="A92" s="2"/>
      <x:c r="B92" s="2"/>
      <x:c r="C92" s="2"/>
      <x:c r="D92" s="3"/>
      <x:c r="E92" s="3"/>
      <x:c r="F92" s="3"/>
      <x:c r="G92" s="3"/>
      <x:c r="H92" s="3"/>
      <x:c r="I92" s="3"/>
      <x:c r="J92" s="3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21" customHeight="1">
      <x:c r="A93" s="2"/>
      <x:c r="B93" s="2"/>
      <x:c r="C93" s="2"/>
      <x:c r="D93" s="3"/>
      <x:c r="E93" s="3"/>
      <x:c r="F93" s="3"/>
      <x:c r="G93" s="3"/>
      <x:c r="H93" s="3"/>
      <x:c r="I93" s="3"/>
      <x:c r="J93" s="3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21" customHeight="1">
      <x:c r="A94" s="2"/>
      <x:c r="B94" s="2"/>
      <x:c r="C94" s="2"/>
      <x:c r="D94" s="3"/>
      <x:c r="E94" s="3"/>
      <x:c r="F94" s="3"/>
      <x:c r="G94" s="3"/>
      <x:c r="H94" s="3"/>
      <x:c r="I94" s="3"/>
      <x:c r="J94" s="3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21" customHeight="1">
      <x:c r="A95" s="2"/>
      <x:c r="B95" s="2"/>
      <x:c r="C95" s="2"/>
      <x:c r="D95" s="3"/>
      <x:c r="E95" s="3"/>
      <x:c r="F95" s="3"/>
      <x:c r="G95" s="3"/>
      <x:c r="H95" s="3"/>
      <x:c r="I95" s="3"/>
      <x:c r="J95" s="3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21" customHeight="1">
      <x:c r="A96" s="2"/>
      <x:c r="B96" s="2"/>
      <x:c r="C96" s="2"/>
      <x:c r="D96" s="3"/>
      <x:c r="E96" s="3"/>
      <x:c r="F96" s="3"/>
      <x:c r="G96" s="3"/>
      <x:c r="H96" s="3"/>
      <x:c r="I96" s="3"/>
      <x:c r="J96" s="3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21" customHeight="1">
      <x:c r="A97" s="2"/>
      <x:c r="B97" s="2"/>
      <x:c r="C97" s="2"/>
      <x:c r="D97" s="3"/>
      <x:c r="E97" s="3"/>
      <x:c r="F97" s="3"/>
      <x:c r="G97" s="3"/>
      <x:c r="H97" s="3"/>
      <x:c r="I97" s="3"/>
      <x:c r="J97" s="3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21" customHeight="1">
      <x:c r="A98" s="2"/>
      <x:c r="B98" s="2"/>
      <x:c r="C98" s="2"/>
      <x:c r="D98" s="3"/>
      <x:c r="E98" s="3"/>
      <x:c r="F98" s="3"/>
      <x:c r="G98" s="3"/>
      <x:c r="H98" s="3"/>
      <x:c r="I98" s="3"/>
      <x:c r="J98" s="3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21" customHeight="1">
      <x:c r="A99" s="2"/>
      <x:c r="B99" s="2"/>
      <x:c r="C99" s="2"/>
      <x:c r="D99" s="3"/>
      <x:c r="E99" s="3"/>
      <x:c r="F99" s="3"/>
      <x:c r="G99" s="3"/>
      <x:c r="H99" s="3"/>
      <x:c r="I99" s="3"/>
      <x:c r="J99" s="3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21" customHeight="1">
      <x:c r="A100" s="2"/>
      <x:c r="B100" s="2"/>
      <x:c r="C100" s="2"/>
      <x:c r="D100" s="3"/>
      <x:c r="E100" s="3"/>
      <x:c r="F100" s="3"/>
      <x:c r="G100" s="3"/>
      <x:c r="H100" s="3"/>
      <x:c r="I100" s="3"/>
      <x:c r="J100" s="3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21" customHeight="1">
      <x:c r="A101" s="2"/>
      <x:c r="B101" s="2"/>
      <x:c r="C101" s="2"/>
      <x:c r="D101" s="3"/>
      <x:c r="E101" s="3"/>
      <x:c r="F101" s="3"/>
      <x:c r="G101" s="3"/>
      <x:c r="H101" s="3"/>
      <x:c r="I101" s="3"/>
      <x:c r="J101" s="3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21" customHeight="1">
      <x:c r="A102" s="2"/>
      <x:c r="B102" s="2"/>
      <x:c r="C102" s="2"/>
      <x:c r="D102" s="3"/>
      <x:c r="E102" s="3"/>
      <x:c r="F102" s="3"/>
      <x:c r="G102" s="3"/>
      <x:c r="H102" s="3"/>
      <x:c r="I102" s="3"/>
      <x:c r="J102" s="3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21" customHeight="1">
      <x:c r="A103" s="2"/>
      <x:c r="B103" s="2"/>
      <x:c r="C103" s="2"/>
      <x:c r="D103" s="3"/>
      <x:c r="E103" s="3"/>
      <x:c r="F103" s="3"/>
      <x:c r="G103" s="3"/>
      <x:c r="H103" s="3"/>
      <x:c r="I103" s="3"/>
      <x:c r="J103" s="3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21" customHeight="1">
      <x:c r="A104" s="2"/>
      <x:c r="B104" s="2"/>
      <x:c r="C104" s="2"/>
      <x:c r="D104" s="3"/>
      <x:c r="E104" s="3"/>
      <x:c r="F104" s="3"/>
      <x:c r="G104" s="3"/>
      <x:c r="H104" s="3"/>
      <x:c r="I104" s="3"/>
      <x:c r="J104" s="3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21" customHeight="1">
      <x:c r="A105" s="2"/>
      <x:c r="B105" s="2"/>
      <x:c r="C105" s="2"/>
      <x:c r="D105" s="3"/>
      <x:c r="E105" s="3"/>
      <x:c r="F105" s="3"/>
      <x:c r="G105" s="3"/>
      <x:c r="H105" s="3"/>
      <x:c r="I105" s="3"/>
      <x:c r="J105" s="3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21" customHeight="1">
      <x:c r="A106" s="2"/>
      <x:c r="B106" s="2"/>
      <x:c r="C106" s="2"/>
      <x:c r="D106" s="3"/>
      <x:c r="E106" s="3"/>
      <x:c r="F106" s="3"/>
      <x:c r="G106" s="3"/>
      <x:c r="H106" s="3"/>
      <x:c r="I106" s="3"/>
      <x:c r="J106" s="3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21" customHeight="1">
      <x:c r="A107" s="2"/>
      <x:c r="B107" s="2"/>
      <x:c r="C107" s="2"/>
      <x:c r="D107" s="3"/>
      <x:c r="E107" s="3"/>
      <x:c r="F107" s="3"/>
      <x:c r="G107" s="3"/>
      <x:c r="H107" s="3"/>
      <x:c r="I107" s="3"/>
      <x:c r="J107" s="3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21" customHeight="1">
      <x:c r="A108" s="2"/>
      <x:c r="B108" s="2"/>
      <x:c r="C108" s="2"/>
      <x:c r="D108" s="3"/>
      <x:c r="E108" s="3"/>
      <x:c r="F108" s="3"/>
      <x:c r="G108" s="3"/>
      <x:c r="H108" s="3"/>
      <x:c r="I108" s="3"/>
      <x:c r="J108" s="3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21" customHeight="1">
      <x:c r="A109" s="2"/>
      <x:c r="B109" s="2"/>
      <x:c r="C109" s="2"/>
      <x:c r="D109" s="3"/>
      <x:c r="E109" s="3"/>
      <x:c r="F109" s="3"/>
      <x:c r="G109" s="3"/>
      <x:c r="H109" s="3"/>
      <x:c r="I109" s="3"/>
      <x:c r="J109" s="3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21" customHeight="1">
      <x:c r="A110" s="2"/>
      <x:c r="B110" s="2"/>
      <x:c r="C110" s="2"/>
      <x:c r="D110" s="3"/>
      <x:c r="E110" s="3"/>
      <x:c r="F110" s="3"/>
      <x:c r="G110" s="3"/>
      <x:c r="H110" s="3"/>
      <x:c r="I110" s="3"/>
      <x:c r="J110" s="3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  <x:col min="40" max="40" width="14" hidden="0" customWidth="1"/>
    <x:col min="41" max="41" width="14" hidden="0" customWidth="1"/>
    <x:col min="42" max="42" width="14" hidden="0" customWidth="1"/>
    <x:col min="43" max="43" width="14" hidden="0" customWidth="1"/>
    <x:col min="44" max="44" width="14" hidden="0" customWidth="1"/>
    <x:col min="45" max="45" width="14" hidden="0" customWidth="1"/>
    <x:col min="46" max="46" width="14" hidden="0" customWidth="1"/>
    <x:col min="47" max="47" width="14" hidden="0" customWidth="1"/>
    <x:col min="48" max="48" width="14" hidden="0" customWidth="1"/>
    <x:col min="49" max="49" width="14" hidden="0" customWidth="1"/>
    <x:col min="50" max="50" width="14" hidden="0" customWidth="1"/>
    <x:col min="51" max="51" width="14" hidden="0" customWidth="1"/>
    <x:col min="52" max="52" width="14" hidden="0" customWidth="1"/>
    <x:col min="53" max="53" width="14" hidden="0" customWidth="1"/>
    <x:col min="54" max="54" width="14" hidden="0" customWidth="1"/>
    <x:col min="55" max="55" width="14" hidden="0" customWidth="1"/>
    <x:col min="56" max="56" width="14" hidden="0" customWidth="1"/>
    <x:col min="57" max="57" width="14" hidden="0" customWidth="1"/>
    <x:col min="58" max="58" width="14" hidden="0" customWidth="1"/>
    <x:col min="59" max="59" width="14" hidden="0" customWidth="1"/>
    <x:col min="60" max="60" width="14" hidden="0" customWidth="1"/>
    <x:col min="61" max="61" width="14" hidden="0" customWidth="1"/>
    <x:col min="62" max="62" width="14" hidden="0" customWidth="1"/>
    <x:col min="63" max="63" width="14" hidden="0" customWidth="1"/>
  </x:cols>
  <x:sheetData>
    <x:row r="1" ht="21" customHeight="1">
      <x:c r="A1" s="2"/>
      <x:c r="B1" s="2"/>
      <x:c r="C1" s="2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1" customHeight="1">
      <x:c r="A2" s="2"/>
      <x:c r="B2" s="2"/>
      <x:c r="C2" s="4" t="str">
        <x:v>Monthly</x:v>
      </x:c>
      <x:c r="D2" s="5"/>
      <x:c r="E2" s="5"/>
      <x:c r="F2" s="5"/>
      <x:c r="G2" s="5"/>
      <x:c r="H2" s="5"/>
      <x:c r="I2" s="5"/>
      <x:c r="J2" s="5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3"/>
      <x:c r="E3" s="3"/>
      <x:c r="F3" s="3"/>
      <x:c r="G3" s="3"/>
      <x:c r="H3" s="3"/>
      <x:c r="I3" s="3"/>
      <x:c r="J3" s="3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"/>
      <x:c r="B4" s="2"/>
      <x:c r="C4" s="2" t="str">
        <x:v>Case selected</x:v>
      </x:c>
      <x:c r="D4" s="22" t="str">
        <x:f>'Inputs'!E4</x:f>
        <x:v>Base</x:v>
      </x:c>
      <x:c r="E4" s="3"/>
      <x:c r="F4" s="3"/>
      <x:c r="G4" s="3"/>
      <x:c r="H4" s="3"/>
      <x:c r="I4" s="3"/>
      <x:c r="J4" s="3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/>
      <x:c r="B5" s="2"/>
      <x:c r="C5" s="2"/>
      <x:c r="D5" s="3"/>
      <x:c r="E5" s="3"/>
      <x:c r="F5" s="3"/>
      <x:c r="G5" s="3"/>
      <x:c r="H5" s="3"/>
      <x:c r="I5" s="3"/>
      <x:c r="J5" s="3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"/>
      <x:c r="B6" s="2"/>
      <x:c r="C6" s="2" t="str">
        <x:v>Operating month</x:v>
      </x:c>
      <x:c r="D6" s="26" t="n">
        <x:v>1</x:v>
      </x:c>
      <x:c r="E6" s="26" t="n">
        <x:v>2</x:v>
      </x:c>
      <x:c r="F6" s="26" t="n">
        <x:v>3</x:v>
      </x:c>
      <x:c r="G6" s="26" t="n">
        <x:v>4</x:v>
      </x:c>
      <x:c r="H6" s="26" t="n">
        <x:v>5</x:v>
      </x:c>
      <x:c r="I6" s="26" t="n">
        <x:v>6</x:v>
      </x:c>
      <x:c r="J6" s="26" t="n">
        <x:v>7</x:v>
      </x:c>
      <x:c r="K6" s="26" t="n">
        <x:v>8</x:v>
      </x:c>
      <x:c r="L6" s="26" t="n">
        <x:v>9</x:v>
      </x:c>
      <x:c r="M6" s="26" t="n">
        <x:v>10</x:v>
      </x:c>
      <x:c r="N6" s="26" t="n">
        <x:v>11</x:v>
      </x:c>
      <x:c r="O6" s="26" t="n">
        <x:v>12</x:v>
      </x:c>
      <x:c r="P6" s="26" t="n">
        <x:v>13</x:v>
      </x:c>
      <x:c r="Q6" s="26" t="n">
        <x:v>14</x:v>
      </x:c>
      <x:c r="R6" s="26" t="n">
        <x:v>15</x:v>
      </x:c>
      <x:c r="S6" s="26" t="n">
        <x:v>16</x:v>
      </x:c>
      <x:c r="T6" s="26" t="n">
        <x:v>17</x:v>
      </x:c>
      <x:c r="U6" s="54" t="n">
        <x:v>18</x:v>
      </x:c>
      <x:c r="V6" s="54" t="n">
        <x:v>19</x:v>
      </x:c>
      <x:c r="W6" s="54" t="n">
        <x:v>20</x:v>
      </x:c>
      <x:c r="X6" s="54" t="n">
        <x:v>21</x:v>
      </x:c>
      <x:c r="Y6" s="54" t="n">
        <x:v>22</x:v>
      </x:c>
      <x:c r="Z6" s="54" t="n">
        <x:v>23</x:v>
      </x:c>
      <x:c r="AA6" s="54" t="n">
        <x:v>24</x:v>
      </x:c>
      <x:c r="AB6" s="54" t="n">
        <x:v>25</x:v>
      </x:c>
      <x:c r="AC6" s="54" t="n">
        <x:v>26</x:v>
      </x:c>
      <x:c r="AD6" s="54" t="n">
        <x:v>27</x:v>
      </x:c>
      <x:c r="AE6" s="54" t="n">
        <x:v>28</x:v>
      </x:c>
      <x:c r="AF6" s="54" t="n">
        <x:v>29</x:v>
      </x:c>
      <x:c r="AG6" s="54" t="n">
        <x:v>30</x:v>
      </x:c>
      <x:c r="AH6" s="54" t="n">
        <x:v>31</x:v>
      </x:c>
      <x:c r="AI6" s="54" t="n">
        <x:v>32</x:v>
      </x:c>
      <x:c r="AJ6" s="54" t="n">
        <x:v>33</x:v>
      </x:c>
      <x:c r="AK6" s="54" t="n">
        <x:v>34</x:v>
      </x:c>
      <x:c r="AL6" s="54" t="n">
        <x:v>35</x:v>
      </x:c>
      <x:c r="AM6" s="54" t="n">
        <x:v>36</x:v>
      </x:c>
      <x:c r="AN6" s="54" t="n">
        <x:v>37</x:v>
      </x:c>
      <x:c r="AO6" s="54" t="n">
        <x:v>38</x:v>
      </x:c>
      <x:c r="AP6" s="54" t="n">
        <x:v>39</x:v>
      </x:c>
      <x:c r="AQ6" s="54" t="n">
        <x:v>40</x:v>
      </x:c>
      <x:c r="AR6" s="54" t="n">
        <x:v>41</x:v>
      </x:c>
      <x:c r="AS6" s="54" t="n">
        <x:v>42</x:v>
      </x:c>
      <x:c r="AT6" s="54" t="n">
        <x:v>43</x:v>
      </x:c>
      <x:c r="AU6" s="54" t="n">
        <x:v>44</x:v>
      </x:c>
      <x:c r="AV6" s="54" t="n">
        <x:v>45</x:v>
      </x:c>
      <x:c r="AW6" s="54" t="n">
        <x:v>46</x:v>
      </x:c>
      <x:c r="AX6" s="54" t="n">
        <x:v>47</x:v>
      </x:c>
      <x:c r="AY6" s="54" t="n">
        <x:v>48</x:v>
      </x:c>
      <x:c r="AZ6" s="54" t="n">
        <x:v>49</x:v>
      </x:c>
      <x:c r="BA6" s="54" t="n">
        <x:v>50</x:v>
      </x:c>
      <x:c r="BB6" s="54" t="n">
        <x:v>51</x:v>
      </x:c>
      <x:c r="BC6" s="54" t="n">
        <x:v>52</x:v>
      </x:c>
      <x:c r="BD6" s="54" t="n">
        <x:v>53</x:v>
      </x:c>
      <x:c r="BE6" s="54" t="n">
        <x:v>54</x:v>
      </x:c>
      <x:c r="BF6" s="54" t="n">
        <x:v>55</x:v>
      </x:c>
      <x:c r="BG6" s="54" t="n">
        <x:v>56</x:v>
      </x:c>
      <x:c r="BH6" s="54" t="n">
        <x:v>57</x:v>
      </x:c>
      <x:c r="BI6" s="54" t="n">
        <x:v>58</x:v>
      </x:c>
      <x:c r="BJ6" s="54" t="n">
        <x:v>59</x:v>
      </x:c>
      <x:c r="BK6" s="54" t="n">
        <x:v>60</x:v>
      </x:c>
    </x:row>
    <x:row r="7" ht="21" customHeight="1">
      <x:c r="A7" s="2"/>
      <x:c r="B7" s="2"/>
      <x:c r="C7" s="2" t="str">
        <x:v>Model year</x:v>
      </x:c>
      <x:c r="D7" s="26" t="n">
        <x:f>INT((D6-1)/12)+1</x:f>
        <x:v>1</x:v>
      </x:c>
      <x:c r="E7" s="26" t="n">
        <x:f>INT((E6-1)/12)+1</x:f>
        <x:v>1</x:v>
      </x:c>
      <x:c r="F7" s="26" t="n">
        <x:f>INT((F6-1)/12)+1</x:f>
        <x:v>1</x:v>
      </x:c>
      <x:c r="G7" s="26" t="n">
        <x:f>INT((G6-1)/12)+1</x:f>
        <x:v>1</x:v>
      </x:c>
      <x:c r="H7" s="26" t="n">
        <x:f>INT((H6-1)/12)+1</x:f>
        <x:v>1</x:v>
      </x:c>
      <x:c r="I7" s="26" t="n">
        <x:f>INT((I6-1)/12)+1</x:f>
        <x:v>1</x:v>
      </x:c>
      <x:c r="J7" s="26" t="n">
        <x:f>INT((J6-1)/12)+1</x:f>
        <x:v>1</x:v>
      </x:c>
      <x:c r="K7" s="26" t="n">
        <x:f>INT((K6-1)/12)+1</x:f>
        <x:v>1</x:v>
      </x:c>
      <x:c r="L7" s="26" t="n">
        <x:f>INT((L6-1)/12)+1</x:f>
        <x:v>1</x:v>
      </x:c>
      <x:c r="M7" s="26" t="n">
        <x:f>INT((M6-1)/12)+1</x:f>
        <x:v>1</x:v>
      </x:c>
      <x:c r="N7" s="26" t="n">
        <x:f>INT((N6-1)/12)+1</x:f>
        <x:v>1</x:v>
      </x:c>
      <x:c r="O7" s="26" t="n">
        <x:f>INT((O6-1)/12)+1</x:f>
        <x:v>1</x:v>
      </x:c>
      <x:c r="P7" s="26" t="n">
        <x:f>INT((P6-1)/12)+1</x:f>
        <x:v>2</x:v>
      </x:c>
      <x:c r="Q7" s="26" t="n">
        <x:f>INT((Q6-1)/12)+1</x:f>
        <x:v>2</x:v>
      </x:c>
      <x:c r="R7" s="26" t="n">
        <x:f>INT((R6-1)/12)+1</x:f>
        <x:v>2</x:v>
      </x:c>
      <x:c r="S7" s="26" t="n">
        <x:f>INT((S6-1)/12)+1</x:f>
        <x:v>2</x:v>
      </x:c>
      <x:c r="T7" s="26" t="n">
        <x:f>INT((T6-1)/12)+1</x:f>
        <x:v>2</x:v>
      </x:c>
      <x:c r="U7" s="54" t="n">
        <x:f>INT((U6-1)/12)+1</x:f>
        <x:v>2</x:v>
      </x:c>
      <x:c r="V7" s="54" t="n">
        <x:f>INT((V6-1)/12)+1</x:f>
        <x:v>2</x:v>
      </x:c>
      <x:c r="W7" s="54" t="n">
        <x:f>INT((W6-1)/12)+1</x:f>
        <x:v>2</x:v>
      </x:c>
      <x:c r="X7" s="54" t="n">
        <x:f>INT((X6-1)/12)+1</x:f>
        <x:v>2</x:v>
      </x:c>
      <x:c r="Y7" s="54" t="n">
        <x:f>INT((Y6-1)/12)+1</x:f>
        <x:v>2</x:v>
      </x:c>
      <x:c r="Z7" s="54" t="n">
        <x:f>INT((Z6-1)/12)+1</x:f>
        <x:v>2</x:v>
      </x:c>
      <x:c r="AA7" s="54" t="n">
        <x:f>INT((AA6-1)/12)+1</x:f>
        <x:v>2</x:v>
      </x:c>
      <x:c r="AB7" s="54" t="n">
        <x:f>INT((AB6-1)/12)+1</x:f>
        <x:v>3</x:v>
      </x:c>
      <x:c r="AC7" s="54" t="n">
        <x:f>INT((AC6-1)/12)+1</x:f>
        <x:v>3</x:v>
      </x:c>
      <x:c r="AD7" s="54" t="n">
        <x:f>INT((AD6-1)/12)+1</x:f>
        <x:v>3</x:v>
      </x:c>
      <x:c r="AE7" s="54" t="n">
        <x:f>INT((AE6-1)/12)+1</x:f>
        <x:v>3</x:v>
      </x:c>
      <x:c r="AF7" s="54" t="n">
        <x:f>INT((AF6-1)/12)+1</x:f>
        <x:v>3</x:v>
      </x:c>
      <x:c r="AG7" s="54" t="n">
        <x:f>INT((AG6-1)/12)+1</x:f>
        <x:v>3</x:v>
      </x:c>
      <x:c r="AH7" s="54" t="n">
        <x:f>INT((AH6-1)/12)+1</x:f>
        <x:v>3</x:v>
      </x:c>
      <x:c r="AI7" s="54" t="n">
        <x:f>INT((AI6-1)/12)+1</x:f>
        <x:v>3</x:v>
      </x:c>
      <x:c r="AJ7" s="54" t="n">
        <x:f>INT((AJ6-1)/12)+1</x:f>
        <x:v>3</x:v>
      </x:c>
      <x:c r="AK7" s="54" t="n">
        <x:f>INT((AK6-1)/12)+1</x:f>
        <x:v>3</x:v>
      </x:c>
      <x:c r="AL7" s="54" t="n">
        <x:f>INT((AL6-1)/12)+1</x:f>
        <x:v>3</x:v>
      </x:c>
      <x:c r="AM7" s="54" t="n">
        <x:f>INT((AM6-1)/12)+1</x:f>
        <x:v>3</x:v>
      </x:c>
      <x:c r="AN7" s="54" t="n">
        <x:f>INT((AN6-1)/12)+1</x:f>
        <x:v>4</x:v>
      </x:c>
      <x:c r="AO7" s="54" t="n">
        <x:f>INT((AO6-1)/12)+1</x:f>
        <x:v>4</x:v>
      </x:c>
      <x:c r="AP7" s="54" t="n">
        <x:f>INT((AP6-1)/12)+1</x:f>
        <x:v>4</x:v>
      </x:c>
      <x:c r="AQ7" s="54" t="n">
        <x:f>INT((AQ6-1)/12)+1</x:f>
        <x:v>4</x:v>
      </x:c>
      <x:c r="AR7" s="54" t="n">
        <x:f>INT((AR6-1)/12)+1</x:f>
        <x:v>4</x:v>
      </x:c>
      <x:c r="AS7" s="54" t="n">
        <x:f>INT((AS6-1)/12)+1</x:f>
        <x:v>4</x:v>
      </x:c>
      <x:c r="AT7" s="54" t="n">
        <x:f>INT((AT6-1)/12)+1</x:f>
        <x:v>4</x:v>
      </x:c>
      <x:c r="AU7" s="54" t="n">
        <x:f>INT((AU6-1)/12)+1</x:f>
        <x:v>4</x:v>
      </x:c>
      <x:c r="AV7" s="54" t="n">
        <x:f>INT((AV6-1)/12)+1</x:f>
        <x:v>4</x:v>
      </x:c>
      <x:c r="AW7" s="54" t="n">
        <x:f>INT((AW6-1)/12)+1</x:f>
        <x:v>4</x:v>
      </x:c>
      <x:c r="AX7" s="54" t="n">
        <x:f>INT((AX6-1)/12)+1</x:f>
        <x:v>4</x:v>
      </x:c>
      <x:c r="AY7" s="54" t="n">
        <x:f>INT((AY6-1)/12)+1</x:f>
        <x:v>4</x:v>
      </x:c>
      <x:c r="AZ7" s="54" t="n">
        <x:f>INT((AZ6-1)/12)+1</x:f>
        <x:v>5</x:v>
      </x:c>
      <x:c r="BA7" s="54" t="n">
        <x:f>INT((BA6-1)/12)+1</x:f>
        <x:v>5</x:v>
      </x:c>
      <x:c r="BB7" s="54" t="n">
        <x:f>INT((BB6-1)/12)+1</x:f>
        <x:v>5</x:v>
      </x:c>
      <x:c r="BC7" s="54" t="n">
        <x:f>INT((BC6-1)/12)+1</x:f>
        <x:v>5</x:v>
      </x:c>
      <x:c r="BD7" s="54" t="n">
        <x:f>INT((BD6-1)/12)+1</x:f>
        <x:v>5</x:v>
      </x:c>
      <x:c r="BE7" s="54" t="n">
        <x:f>INT((BE6-1)/12)+1</x:f>
        <x:v>5</x:v>
      </x:c>
      <x:c r="BF7" s="54" t="n">
        <x:f>INT((BF6-1)/12)+1</x:f>
        <x:v>5</x:v>
      </x:c>
      <x:c r="BG7" s="54" t="n">
        <x:f>INT((BG6-1)/12)+1</x:f>
        <x:v>5</x:v>
      </x:c>
      <x:c r="BH7" s="54" t="n">
        <x:f>INT((BH6-1)/12)+1</x:f>
        <x:v>5</x:v>
      </x:c>
      <x:c r="BI7" s="54" t="n">
        <x:f>INT((BI6-1)/12)+1</x:f>
        <x:v>5</x:v>
      </x:c>
      <x:c r="BJ7" s="54" t="n">
        <x:f>INT((BJ6-1)/12)+1</x:f>
        <x:v>5</x:v>
      </x:c>
      <x:c r="BK7" s="54" t="n">
        <x:f>INT((BK6-1)/12)+1</x:f>
        <x:v>5</x:v>
      </x:c>
    </x:row>
    <x:row r="8" ht="21" customHeight="1">
      <x:c r="A8" s="2"/>
      <x:c r="B8" s="2"/>
      <x:c r="C8" s="2" t="str">
        <x:v>Month beginning</x:v>
      </x:c>
      <x:c r="D8" s="55" t="n">
        <x:f>EDATE('Inputs'!D9,'Inputs'!D65)</x:f>
        <x:v>46631</x:v>
      </x:c>
      <x:c r="E8" s="55" t="n">
        <x:f>EDATE(D8,1)</x:f>
        <x:v>46661</x:v>
      </x:c>
      <x:c r="F8" s="55" t="n">
        <x:f>EDATE(E8,1)</x:f>
        <x:v>46692</x:v>
      </x:c>
      <x:c r="G8" s="55" t="n">
        <x:f>EDATE(F8,1)</x:f>
        <x:v>46722</x:v>
      </x:c>
      <x:c r="H8" s="55" t="n">
        <x:f>EDATE(G8,1)</x:f>
        <x:v>46753</x:v>
      </x:c>
      <x:c r="I8" s="55" t="n">
        <x:f>EDATE(H8,1)</x:f>
        <x:v>46784</x:v>
      </x:c>
      <x:c r="J8" s="55" t="n">
        <x:f>EDATE(I8,1)</x:f>
        <x:v>46813</x:v>
      </x:c>
      <x:c r="K8" s="55" t="n">
        <x:f>EDATE(J8,1)</x:f>
        <x:v>46844</x:v>
      </x:c>
      <x:c r="L8" s="55" t="n">
        <x:f>EDATE(K8,1)</x:f>
        <x:v>46874</x:v>
      </x:c>
      <x:c r="M8" s="55" t="n">
        <x:f>EDATE(L8,1)</x:f>
        <x:v>46905</x:v>
      </x:c>
      <x:c r="N8" s="55" t="n">
        <x:f>EDATE(M8,1)</x:f>
        <x:v>46935</x:v>
      </x:c>
      <x:c r="O8" s="55" t="n">
        <x:f>EDATE(N8,1)</x:f>
        <x:v>46966</x:v>
      </x:c>
      <x:c r="P8" s="55" t="n">
        <x:f>EDATE(O8,1)</x:f>
        <x:v>46997</x:v>
      </x:c>
      <x:c r="Q8" s="55" t="n">
        <x:f>EDATE(P8,1)</x:f>
        <x:v>47027</x:v>
      </x:c>
      <x:c r="R8" s="55" t="n">
        <x:f>EDATE(Q8,1)</x:f>
        <x:v>47058</x:v>
      </x:c>
      <x:c r="S8" s="55" t="n">
        <x:f>EDATE(R8,1)</x:f>
        <x:v>47088</x:v>
      </x:c>
      <x:c r="T8" s="55" t="n">
        <x:f>EDATE(S8,1)</x:f>
        <x:v>47119</x:v>
      </x:c>
      <x:c r="U8" s="56" t="n">
        <x:f>EDATE(T8,1)</x:f>
        <x:v>47150</x:v>
      </x:c>
      <x:c r="V8" s="56" t="n">
        <x:f>EDATE(U8,1)</x:f>
        <x:v>47178</x:v>
      </x:c>
      <x:c r="W8" s="56" t="n">
        <x:f>EDATE(V8,1)</x:f>
        <x:v>47209</x:v>
      </x:c>
      <x:c r="X8" s="56" t="n">
        <x:f>EDATE(W8,1)</x:f>
        <x:v>47239</x:v>
      </x:c>
      <x:c r="Y8" s="56" t="n">
        <x:f>EDATE(X8,1)</x:f>
        <x:v>47270</x:v>
      </x:c>
      <x:c r="Z8" s="56" t="n">
        <x:f>EDATE(Y8,1)</x:f>
        <x:v>47300</x:v>
      </x:c>
      <x:c r="AA8" s="56" t="n">
        <x:f>EDATE(Z8,1)</x:f>
        <x:v>47331</x:v>
      </x:c>
      <x:c r="AB8" s="56" t="n">
        <x:f>EDATE(AA8,1)</x:f>
        <x:v>47362</x:v>
      </x:c>
      <x:c r="AC8" s="56" t="n">
        <x:f>EDATE(AB8,1)</x:f>
        <x:v>47392</x:v>
      </x:c>
      <x:c r="AD8" s="56" t="n">
        <x:f>EDATE(AC8,1)</x:f>
        <x:v>47423</x:v>
      </x:c>
      <x:c r="AE8" s="56" t="n">
        <x:f>EDATE(AD8,1)</x:f>
        <x:v>47453</x:v>
      </x:c>
      <x:c r="AF8" s="56" t="n">
        <x:f>EDATE(AE8,1)</x:f>
        <x:v>47484</x:v>
      </x:c>
      <x:c r="AG8" s="56" t="n">
        <x:f>EDATE(AF8,1)</x:f>
        <x:v>47515</x:v>
      </x:c>
      <x:c r="AH8" s="56" t="n">
        <x:f>EDATE(AG8,1)</x:f>
        <x:v>47543</x:v>
      </x:c>
      <x:c r="AI8" s="56" t="n">
        <x:f>EDATE(AH8,1)</x:f>
        <x:v>47574</x:v>
      </x:c>
      <x:c r="AJ8" s="56" t="n">
        <x:f>EDATE(AI8,1)</x:f>
        <x:v>47604</x:v>
      </x:c>
      <x:c r="AK8" s="56" t="n">
        <x:f>EDATE(AJ8,1)</x:f>
        <x:v>47635</x:v>
      </x:c>
      <x:c r="AL8" s="56" t="n">
        <x:f>EDATE(AK8,1)</x:f>
        <x:v>47665</x:v>
      </x:c>
      <x:c r="AM8" s="56" t="n">
        <x:f>EDATE(AL8,1)</x:f>
        <x:v>47696</x:v>
      </x:c>
      <x:c r="AN8" s="56" t="n">
        <x:f>EDATE(AM8,1)</x:f>
        <x:v>47727</x:v>
      </x:c>
      <x:c r="AO8" s="56" t="n">
        <x:f>EDATE(AN8,1)</x:f>
        <x:v>47757</x:v>
      </x:c>
      <x:c r="AP8" s="56" t="n">
        <x:f>EDATE(AO8,1)</x:f>
        <x:v>47788</x:v>
      </x:c>
      <x:c r="AQ8" s="56" t="n">
        <x:f>EDATE(AP8,1)</x:f>
        <x:v>47818</x:v>
      </x:c>
      <x:c r="AR8" s="56" t="n">
        <x:f>EDATE(AQ8,1)</x:f>
        <x:v>47849</x:v>
      </x:c>
      <x:c r="AS8" s="56" t="n">
        <x:f>EDATE(AR8,1)</x:f>
        <x:v>47880</x:v>
      </x:c>
      <x:c r="AT8" s="56" t="n">
        <x:f>EDATE(AS8,1)</x:f>
        <x:v>47908</x:v>
      </x:c>
      <x:c r="AU8" s="56" t="n">
        <x:f>EDATE(AT8,1)</x:f>
        <x:v>47939</x:v>
      </x:c>
      <x:c r="AV8" s="56" t="n">
        <x:f>EDATE(AU8,1)</x:f>
        <x:v>47969</x:v>
      </x:c>
      <x:c r="AW8" s="56" t="n">
        <x:f>EDATE(AV8,1)</x:f>
        <x:v>48000</x:v>
      </x:c>
      <x:c r="AX8" s="56" t="n">
        <x:f>EDATE(AW8,1)</x:f>
        <x:v>48030</x:v>
      </x:c>
      <x:c r="AY8" s="56" t="n">
        <x:f>EDATE(AX8,1)</x:f>
        <x:v>48061</x:v>
      </x:c>
      <x:c r="AZ8" s="56" t="n">
        <x:f>EDATE(AY8,1)</x:f>
        <x:v>48092</x:v>
      </x:c>
      <x:c r="BA8" s="56" t="n">
        <x:f>EDATE(AZ8,1)</x:f>
        <x:v>48122</x:v>
      </x:c>
      <x:c r="BB8" s="56" t="n">
        <x:f>EDATE(BA8,1)</x:f>
        <x:v>48153</x:v>
      </x:c>
      <x:c r="BC8" s="56" t="n">
        <x:f>EDATE(BB8,1)</x:f>
        <x:v>48183</x:v>
      </x:c>
      <x:c r="BD8" s="56" t="n">
        <x:f>EDATE(BC8,1)</x:f>
        <x:v>48214</x:v>
      </x:c>
      <x:c r="BE8" s="56" t="n">
        <x:f>EDATE(BD8,1)</x:f>
        <x:v>48245</x:v>
      </x:c>
      <x:c r="BF8" s="56" t="n">
        <x:f>EDATE(BE8,1)</x:f>
        <x:v>48274</x:v>
      </x:c>
      <x:c r="BG8" s="56" t="n">
        <x:f>EDATE(BF8,1)</x:f>
        <x:v>48305</x:v>
      </x:c>
      <x:c r="BH8" s="56" t="n">
        <x:f>EDATE(BG8,1)</x:f>
        <x:v>48335</x:v>
      </x:c>
      <x:c r="BI8" s="56" t="n">
        <x:f>EDATE(BH8,1)</x:f>
        <x:v>48366</x:v>
      </x:c>
      <x:c r="BJ8" s="56" t="n">
        <x:f>EDATE(BI8,1)</x:f>
        <x:v>48396</x:v>
      </x:c>
      <x:c r="BK8" s="56" t="n">
        <x:f>EDATE(BJ8,1)</x:f>
        <x:v>48427</x:v>
      </x:c>
    </x:row>
    <x:row r="9" ht="21" customHeight="1">
      <x:c r="A9" s="2"/>
      <x:c r="B9" s="2"/>
      <x:c r="C9" s="2" t="str">
        <x:v>Days</x:v>
      </x:c>
      <x:c r="D9" s="8" t="n">
        <x:f>DAY(EOMONTH(D8,0))</x:f>
        <x:v>30</x:v>
      </x:c>
      <x:c r="E9" s="8" t="n">
        <x:f>DAY(EOMONTH(E8,0))</x:f>
        <x:v>31</x:v>
      </x:c>
      <x:c r="F9" s="8" t="n">
        <x:f>DAY(EOMONTH(F8,0))</x:f>
        <x:v>30</x:v>
      </x:c>
      <x:c r="G9" s="8" t="n">
        <x:f>DAY(EOMONTH(G8,0))</x:f>
        <x:v>31</x:v>
      </x:c>
      <x:c r="H9" s="8" t="n">
        <x:f>DAY(EOMONTH(H8,0))</x:f>
        <x:v>31</x:v>
      </x:c>
      <x:c r="I9" s="8" t="n">
        <x:f>DAY(EOMONTH(I8,0))</x:f>
        <x:v>29</x:v>
      </x:c>
      <x:c r="J9" s="8" t="n">
        <x:f>DAY(EOMONTH(J8,0))</x:f>
        <x:v>31</x:v>
      </x:c>
      <x:c r="K9" s="8" t="n">
        <x:f>DAY(EOMONTH(K8,0))</x:f>
        <x:v>30</x:v>
      </x:c>
      <x:c r="L9" s="8" t="n">
        <x:f>DAY(EOMONTH(L8,0))</x:f>
        <x:v>31</x:v>
      </x:c>
      <x:c r="M9" s="8" t="n">
        <x:f>DAY(EOMONTH(M8,0))</x:f>
        <x:v>30</x:v>
      </x:c>
      <x:c r="N9" s="8" t="n">
        <x:f>DAY(EOMONTH(N8,0))</x:f>
        <x:v>31</x:v>
      </x:c>
      <x:c r="O9" s="8" t="n">
        <x:f>DAY(EOMONTH(O8,0))</x:f>
        <x:v>31</x:v>
      </x:c>
      <x:c r="P9" s="8" t="n">
        <x:f>DAY(EOMONTH(P8,0))</x:f>
        <x:v>30</x:v>
      </x:c>
      <x:c r="Q9" s="8" t="n">
        <x:f>DAY(EOMONTH(Q8,0))</x:f>
        <x:v>31</x:v>
      </x:c>
      <x:c r="R9" s="8" t="n">
        <x:f>DAY(EOMONTH(R8,0))</x:f>
        <x:v>30</x:v>
      </x:c>
      <x:c r="S9" s="8" t="n">
        <x:f>DAY(EOMONTH(S8,0))</x:f>
        <x:v>31</x:v>
      </x:c>
      <x:c r="T9" s="8" t="n">
        <x:f>DAY(EOMONTH(T8,0))</x:f>
        <x:v>31</x:v>
      </x:c>
      <x:c r="U9" s="35" t="n">
        <x:f>DAY(EOMONTH(U8,0))</x:f>
        <x:v>28</x:v>
      </x:c>
      <x:c r="V9" s="35" t="n">
        <x:f>DAY(EOMONTH(V8,0))</x:f>
        <x:v>31</x:v>
      </x:c>
      <x:c r="W9" s="35" t="n">
        <x:f>DAY(EOMONTH(W8,0))</x:f>
        <x:v>30</x:v>
      </x:c>
      <x:c r="X9" s="35" t="n">
        <x:f>DAY(EOMONTH(X8,0))</x:f>
        <x:v>31</x:v>
      </x:c>
      <x:c r="Y9" s="35" t="n">
        <x:f>DAY(EOMONTH(Y8,0))</x:f>
        <x:v>30</x:v>
      </x:c>
      <x:c r="Z9" s="35" t="n">
        <x:f>DAY(EOMONTH(Z8,0))</x:f>
        <x:v>31</x:v>
      </x:c>
      <x:c r="AA9" s="35" t="n">
        <x:f>DAY(EOMONTH(AA8,0))</x:f>
        <x:v>31</x:v>
      </x:c>
      <x:c r="AB9" s="35" t="n">
        <x:f>DAY(EOMONTH(AB8,0))</x:f>
        <x:v>30</x:v>
      </x:c>
      <x:c r="AC9" s="35" t="n">
        <x:f>DAY(EOMONTH(AC8,0))</x:f>
        <x:v>31</x:v>
      </x:c>
      <x:c r="AD9" s="35" t="n">
        <x:f>DAY(EOMONTH(AD8,0))</x:f>
        <x:v>30</x:v>
      </x:c>
      <x:c r="AE9" s="35" t="n">
        <x:f>DAY(EOMONTH(AE8,0))</x:f>
        <x:v>31</x:v>
      </x:c>
      <x:c r="AF9" s="35" t="n">
        <x:f>DAY(EOMONTH(AF8,0))</x:f>
        <x:v>31</x:v>
      </x:c>
      <x:c r="AG9" s="35" t="n">
        <x:f>DAY(EOMONTH(AG8,0))</x:f>
        <x:v>28</x:v>
      </x:c>
      <x:c r="AH9" s="35" t="n">
        <x:f>DAY(EOMONTH(AH8,0))</x:f>
        <x:v>31</x:v>
      </x:c>
      <x:c r="AI9" s="35" t="n">
        <x:f>DAY(EOMONTH(AI8,0))</x:f>
        <x:v>30</x:v>
      </x:c>
      <x:c r="AJ9" s="35" t="n">
        <x:f>DAY(EOMONTH(AJ8,0))</x:f>
        <x:v>31</x:v>
      </x:c>
      <x:c r="AK9" s="35" t="n">
        <x:f>DAY(EOMONTH(AK8,0))</x:f>
        <x:v>30</x:v>
      </x:c>
      <x:c r="AL9" s="35" t="n">
        <x:f>DAY(EOMONTH(AL8,0))</x:f>
        <x:v>31</x:v>
      </x:c>
      <x:c r="AM9" s="35" t="n">
        <x:f>DAY(EOMONTH(AM8,0))</x:f>
        <x:v>31</x:v>
      </x:c>
      <x:c r="AN9" s="35" t="n">
        <x:f>DAY(EOMONTH(AN8,0))</x:f>
        <x:v>30</x:v>
      </x:c>
      <x:c r="AO9" s="35" t="n">
        <x:f>DAY(EOMONTH(AO8,0))</x:f>
        <x:v>31</x:v>
      </x:c>
      <x:c r="AP9" s="35" t="n">
        <x:f>DAY(EOMONTH(AP8,0))</x:f>
        <x:v>30</x:v>
      </x:c>
      <x:c r="AQ9" s="35" t="n">
        <x:f>DAY(EOMONTH(AQ8,0))</x:f>
        <x:v>31</x:v>
      </x:c>
      <x:c r="AR9" s="35" t="n">
        <x:f>DAY(EOMONTH(AR8,0))</x:f>
        <x:v>31</x:v>
      </x:c>
      <x:c r="AS9" s="35" t="n">
        <x:f>DAY(EOMONTH(AS8,0))</x:f>
        <x:v>28</x:v>
      </x:c>
      <x:c r="AT9" s="35" t="n">
        <x:f>DAY(EOMONTH(AT8,0))</x:f>
        <x:v>31</x:v>
      </x:c>
      <x:c r="AU9" s="35" t="n">
        <x:f>DAY(EOMONTH(AU8,0))</x:f>
        <x:v>30</x:v>
      </x:c>
      <x:c r="AV9" s="35" t="n">
        <x:f>DAY(EOMONTH(AV8,0))</x:f>
        <x:v>31</x:v>
      </x:c>
      <x:c r="AW9" s="35" t="n">
        <x:f>DAY(EOMONTH(AW8,0))</x:f>
        <x:v>30</x:v>
      </x:c>
      <x:c r="AX9" s="35" t="n">
        <x:f>DAY(EOMONTH(AX8,0))</x:f>
        <x:v>31</x:v>
      </x:c>
      <x:c r="AY9" s="35" t="n">
        <x:f>DAY(EOMONTH(AY8,0))</x:f>
        <x:v>31</x:v>
      </x:c>
      <x:c r="AZ9" s="35" t="n">
        <x:f>DAY(EOMONTH(AZ8,0))</x:f>
        <x:v>30</x:v>
      </x:c>
      <x:c r="BA9" s="35" t="n">
        <x:f>DAY(EOMONTH(BA8,0))</x:f>
        <x:v>31</x:v>
      </x:c>
      <x:c r="BB9" s="35" t="n">
        <x:f>DAY(EOMONTH(BB8,0))</x:f>
        <x:v>30</x:v>
      </x:c>
      <x:c r="BC9" s="35" t="n">
        <x:f>DAY(EOMONTH(BC8,0))</x:f>
        <x:v>31</x:v>
      </x:c>
      <x:c r="BD9" s="35" t="n">
        <x:f>DAY(EOMONTH(BD8,0))</x:f>
        <x:v>31</x:v>
      </x:c>
      <x:c r="BE9" s="35" t="n">
        <x:f>DAY(EOMONTH(BE8,0))</x:f>
        <x:v>29</x:v>
      </x:c>
      <x:c r="BF9" s="35" t="n">
        <x:f>DAY(EOMONTH(BF8,0))</x:f>
        <x:v>31</x:v>
      </x:c>
      <x:c r="BG9" s="35" t="n">
        <x:f>DAY(EOMONTH(BG8,0))</x:f>
        <x:v>30</x:v>
      </x:c>
      <x:c r="BH9" s="35" t="n">
        <x:f>DAY(EOMONTH(BH8,0))</x:f>
        <x:v>31</x:v>
      </x:c>
      <x:c r="BI9" s="35" t="n">
        <x:f>DAY(EOMONTH(BI8,0))</x:f>
        <x:v>30</x:v>
      </x:c>
      <x:c r="BJ9" s="35" t="n">
        <x:f>DAY(EOMONTH(BJ8,0))</x:f>
        <x:v>31</x:v>
      </x:c>
      <x:c r="BK9" s="35" t="n">
        <x:f>DAY(EOMONTH(BK8,0))</x:f>
        <x:v>31</x:v>
      </x:c>
    </x:row>
    <x:row r="10" ht="21" customHeight="1">
      <x:c r="A10" s="2"/>
      <x:c r="B10" s="2"/>
      <x:c r="C10" s="2" t="str">
        <x:v>Seasonality</x:v>
      </x:c>
      <x:c r="D10" s="44" t="n">
        <x:f>INDEX('Inputs'!$D$87:$D$98,MONTH(D8))</x:f>
        <x:v>0.95</x:v>
      </x:c>
      <x:c r="E10" s="44" t="n">
        <x:f>INDEX('Inputs'!$D$87:$D$98,MONTH(E8))</x:f>
        <x:v>1.1</x:v>
      </x:c>
      <x:c r="F10" s="44" t="n">
        <x:f>INDEX('Inputs'!$D$87:$D$98,MONTH(F8))</x:f>
        <x:v>1.15</x:v>
      </x:c>
      <x:c r="G10" s="44" t="n">
        <x:f>INDEX('Inputs'!$D$87:$D$98,MONTH(G8))</x:f>
        <x:v>1.2</x:v>
      </x:c>
      <x:c r="H10" s="44" t="n">
        <x:f>INDEX('Inputs'!$D$87:$D$98,MONTH(H8))</x:f>
        <x:v>1.1</x:v>
      </x:c>
      <x:c r="I10" s="44" t="n">
        <x:f>INDEX('Inputs'!$D$87:$D$98,MONTH(I8))</x:f>
        <x:v>1.1</x:v>
      </x:c>
      <x:c r="J10" s="44" t="n">
        <x:f>INDEX('Inputs'!$D$87:$D$98,MONTH(J8))</x:f>
        <x:v>1.05</x:v>
      </x:c>
      <x:c r="K10" s="44" t="n">
        <x:f>INDEX('Inputs'!$D$87:$D$98,MONTH(K8))</x:f>
        <x:v>0.95</x:v>
      </x:c>
      <x:c r="L10" s="44" t="n">
        <x:f>INDEX('Inputs'!$D$87:$D$98,MONTH(L8))</x:f>
        <x:v>0.9</x:v>
      </x:c>
      <x:c r="M10" s="44" t="n">
        <x:f>INDEX('Inputs'!$D$87:$D$98,MONTH(M8))</x:f>
        <x:v>0.85</x:v>
      </x:c>
      <x:c r="N10" s="44" t="n">
        <x:f>INDEX('Inputs'!$D$87:$D$98,MONTH(N8))</x:f>
        <x:v>0.8</x:v>
      </x:c>
      <x:c r="O10" s="44" t="n">
        <x:f>INDEX('Inputs'!$D$87:$D$98,MONTH(O8))</x:f>
        <x:v>0.85</x:v>
      </x:c>
      <x:c r="P10" s="44" t="n">
        <x:f>INDEX('Inputs'!$D$87:$D$98,MONTH(P8))</x:f>
        <x:v>0.95</x:v>
      </x:c>
      <x:c r="Q10" s="44" t="n">
        <x:f>INDEX('Inputs'!$D$87:$D$98,MONTH(Q8))</x:f>
        <x:v>1.1</x:v>
      </x:c>
      <x:c r="R10" s="44" t="n">
        <x:f>INDEX('Inputs'!$D$87:$D$98,MONTH(R8))</x:f>
        <x:v>1.15</x:v>
      </x:c>
      <x:c r="S10" s="44" t="n">
        <x:f>INDEX('Inputs'!$D$87:$D$98,MONTH(S8))</x:f>
        <x:v>1.2</x:v>
      </x:c>
      <x:c r="T10" s="44" t="n">
        <x:f>INDEX('Inputs'!$D$87:$D$98,MONTH(T8))</x:f>
        <x:v>1.1</x:v>
      </x:c>
      <x:c r="U10" s="45" t="n">
        <x:f>INDEX('Inputs'!$D$87:$D$98,MONTH(U8))</x:f>
        <x:v>1.1</x:v>
      </x:c>
      <x:c r="V10" s="45" t="n">
        <x:f>INDEX('Inputs'!$D$87:$D$98,MONTH(V8))</x:f>
        <x:v>1.05</x:v>
      </x:c>
      <x:c r="W10" s="45" t="n">
        <x:f>INDEX('Inputs'!$D$87:$D$98,MONTH(W8))</x:f>
        <x:v>0.95</x:v>
      </x:c>
      <x:c r="X10" s="45" t="n">
        <x:f>INDEX('Inputs'!$D$87:$D$98,MONTH(X8))</x:f>
        <x:v>0.9</x:v>
      </x:c>
      <x:c r="Y10" s="45" t="n">
        <x:f>INDEX('Inputs'!$D$87:$D$98,MONTH(Y8))</x:f>
        <x:v>0.85</x:v>
      </x:c>
      <x:c r="Z10" s="45" t="n">
        <x:f>INDEX('Inputs'!$D$87:$D$98,MONTH(Z8))</x:f>
        <x:v>0.8</x:v>
      </x:c>
      <x:c r="AA10" s="45" t="n">
        <x:f>INDEX('Inputs'!$D$87:$D$98,MONTH(AA8))</x:f>
        <x:v>0.85</x:v>
      </x:c>
      <x:c r="AB10" s="45" t="n">
        <x:f>INDEX('Inputs'!$D$87:$D$98,MONTH(AB8))</x:f>
        <x:v>0.95</x:v>
      </x:c>
      <x:c r="AC10" s="45" t="n">
        <x:f>INDEX('Inputs'!$D$87:$D$98,MONTH(AC8))</x:f>
        <x:v>1.1</x:v>
      </x:c>
      <x:c r="AD10" s="45" t="n">
        <x:f>INDEX('Inputs'!$D$87:$D$98,MONTH(AD8))</x:f>
        <x:v>1.15</x:v>
      </x:c>
      <x:c r="AE10" s="45" t="n">
        <x:f>INDEX('Inputs'!$D$87:$D$98,MONTH(AE8))</x:f>
        <x:v>1.2</x:v>
      </x:c>
      <x:c r="AF10" s="45" t="n">
        <x:f>INDEX('Inputs'!$D$87:$D$98,MONTH(AF8))</x:f>
        <x:v>1.1</x:v>
      </x:c>
      <x:c r="AG10" s="45" t="n">
        <x:f>INDEX('Inputs'!$D$87:$D$98,MONTH(AG8))</x:f>
        <x:v>1.1</x:v>
      </x:c>
      <x:c r="AH10" s="45" t="n">
        <x:f>INDEX('Inputs'!$D$87:$D$98,MONTH(AH8))</x:f>
        <x:v>1.05</x:v>
      </x:c>
      <x:c r="AI10" s="45" t="n">
        <x:f>INDEX('Inputs'!$D$87:$D$98,MONTH(AI8))</x:f>
        <x:v>0.95</x:v>
      </x:c>
      <x:c r="AJ10" s="45" t="n">
        <x:f>INDEX('Inputs'!$D$87:$D$98,MONTH(AJ8))</x:f>
        <x:v>0.9</x:v>
      </x:c>
      <x:c r="AK10" s="45" t="n">
        <x:f>INDEX('Inputs'!$D$87:$D$98,MONTH(AK8))</x:f>
        <x:v>0.85</x:v>
      </x:c>
      <x:c r="AL10" s="45" t="n">
        <x:f>INDEX('Inputs'!$D$87:$D$98,MONTH(AL8))</x:f>
        <x:v>0.8</x:v>
      </x:c>
      <x:c r="AM10" s="45" t="n">
        <x:f>INDEX('Inputs'!$D$87:$D$98,MONTH(AM8))</x:f>
        <x:v>0.85</x:v>
      </x:c>
      <x:c r="AN10" s="45" t="n">
        <x:f>INDEX('Inputs'!$D$87:$D$98,MONTH(AN8))</x:f>
        <x:v>0.95</x:v>
      </x:c>
      <x:c r="AO10" s="45" t="n">
        <x:f>INDEX('Inputs'!$D$87:$D$98,MONTH(AO8))</x:f>
        <x:v>1.1</x:v>
      </x:c>
      <x:c r="AP10" s="45" t="n">
        <x:f>INDEX('Inputs'!$D$87:$D$98,MONTH(AP8))</x:f>
        <x:v>1.15</x:v>
      </x:c>
      <x:c r="AQ10" s="45" t="n">
        <x:f>INDEX('Inputs'!$D$87:$D$98,MONTH(AQ8))</x:f>
        <x:v>1.2</x:v>
      </x:c>
      <x:c r="AR10" s="45" t="n">
        <x:f>INDEX('Inputs'!$D$87:$D$98,MONTH(AR8))</x:f>
        <x:v>1.1</x:v>
      </x:c>
      <x:c r="AS10" s="45" t="n">
        <x:f>INDEX('Inputs'!$D$87:$D$98,MONTH(AS8))</x:f>
        <x:v>1.1</x:v>
      </x:c>
      <x:c r="AT10" s="45" t="n">
        <x:f>INDEX('Inputs'!$D$87:$D$98,MONTH(AT8))</x:f>
        <x:v>1.05</x:v>
      </x:c>
      <x:c r="AU10" s="45" t="n">
        <x:f>INDEX('Inputs'!$D$87:$D$98,MONTH(AU8))</x:f>
        <x:v>0.95</x:v>
      </x:c>
      <x:c r="AV10" s="45" t="n">
        <x:f>INDEX('Inputs'!$D$87:$D$98,MONTH(AV8))</x:f>
        <x:v>0.9</x:v>
      </x:c>
      <x:c r="AW10" s="45" t="n">
        <x:f>INDEX('Inputs'!$D$87:$D$98,MONTH(AW8))</x:f>
        <x:v>0.85</x:v>
      </x:c>
      <x:c r="AX10" s="45" t="n">
        <x:f>INDEX('Inputs'!$D$87:$D$98,MONTH(AX8))</x:f>
        <x:v>0.8</x:v>
      </x:c>
      <x:c r="AY10" s="45" t="n">
        <x:f>INDEX('Inputs'!$D$87:$D$98,MONTH(AY8))</x:f>
        <x:v>0.85</x:v>
      </x:c>
      <x:c r="AZ10" s="45" t="n">
        <x:f>INDEX('Inputs'!$D$87:$D$98,MONTH(AZ8))</x:f>
        <x:v>0.95</x:v>
      </x:c>
      <x:c r="BA10" s="45" t="n">
        <x:f>INDEX('Inputs'!$D$87:$D$98,MONTH(BA8))</x:f>
        <x:v>1.1</x:v>
      </x:c>
      <x:c r="BB10" s="45" t="n">
        <x:f>INDEX('Inputs'!$D$87:$D$98,MONTH(BB8))</x:f>
        <x:v>1.15</x:v>
      </x:c>
      <x:c r="BC10" s="45" t="n">
        <x:f>INDEX('Inputs'!$D$87:$D$98,MONTH(BC8))</x:f>
        <x:v>1.2</x:v>
      </x:c>
      <x:c r="BD10" s="45" t="n">
        <x:f>INDEX('Inputs'!$D$87:$D$98,MONTH(BD8))</x:f>
        <x:v>1.1</x:v>
      </x:c>
      <x:c r="BE10" s="45" t="n">
        <x:f>INDEX('Inputs'!$D$87:$D$98,MONTH(BE8))</x:f>
        <x:v>1.1</x:v>
      </x:c>
      <x:c r="BF10" s="45" t="n">
        <x:f>INDEX('Inputs'!$D$87:$D$98,MONTH(BF8))</x:f>
        <x:v>1.05</x:v>
      </x:c>
      <x:c r="BG10" s="45" t="n">
        <x:f>INDEX('Inputs'!$D$87:$D$98,MONTH(BG8))</x:f>
        <x:v>0.95</x:v>
      </x:c>
      <x:c r="BH10" s="45" t="n">
        <x:f>INDEX('Inputs'!$D$87:$D$98,MONTH(BH8))</x:f>
        <x:v>0.9</x:v>
      </x:c>
      <x:c r="BI10" s="45" t="n">
        <x:f>INDEX('Inputs'!$D$87:$D$98,MONTH(BI8))</x:f>
        <x:v>0.85</x:v>
      </x:c>
      <x:c r="BJ10" s="45" t="n">
        <x:f>INDEX('Inputs'!$D$87:$D$98,MONTH(BJ8))</x:f>
        <x:v>0.8</x:v>
      </x:c>
      <x:c r="BK10" s="45" t="n">
        <x:f>INDEX('Inputs'!$D$87:$D$98,MONTH(BK8))</x:f>
        <x:v>0.85</x:v>
      </x:c>
    </x:row>
    <x:row r="11" ht="21" customHeight="1">
      <x:c r="A11" s="2"/>
      <x:c r="B11" s="2"/>
      <x:c r="C11" s="2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4"/>
      <x:c r="V11" s="34"/>
      <x:c r="W11" s="34"/>
      <x:c r="X11" s="34"/>
      <x:c r="Y11" s="34"/>
      <x:c r="Z11" s="34"/>
      <x:c r="AA11" s="34"/>
      <x:c r="AB11" s="34"/>
      <x:c r="AC11" s="34"/>
      <x:c r="AD11" s="34"/>
      <x:c r="AE11" s="34"/>
      <x:c r="AF11" s="34"/>
      <x:c r="AG11" s="34"/>
      <x:c r="AH11" s="34"/>
      <x:c r="AI11" s="34"/>
      <x:c r="AJ11" s="34"/>
      <x:c r="AK11" s="34"/>
      <x:c r="AL11" s="34"/>
      <x:c r="AM11" s="34"/>
      <x:c r="AN11" s="34"/>
      <x:c r="AO11" s="34"/>
      <x:c r="AP11" s="34"/>
      <x:c r="AQ11" s="34"/>
      <x:c r="AR11" s="34"/>
      <x:c r="AS11" s="34"/>
      <x:c r="AT11" s="34"/>
      <x:c r="AU11" s="34"/>
      <x:c r="AV11" s="34"/>
      <x:c r="AW11" s="34"/>
      <x:c r="AX11" s="34"/>
      <x:c r="AY11" s="34"/>
      <x:c r="AZ11" s="34"/>
      <x:c r="BA11" s="34"/>
      <x:c r="BB11" s="34"/>
      <x:c r="BC11" s="34"/>
      <x:c r="BD11" s="34"/>
      <x:c r="BE11" s="34"/>
      <x:c r="BF11" s="34"/>
      <x:c r="BG11" s="34"/>
      <x:c r="BH11" s="34"/>
      <x:c r="BI11" s="34"/>
      <x:c r="BJ11" s="34"/>
      <x:c r="BK11" s="34"/>
    </x:row>
    <x:row r="12" ht="21" customHeight="1">
      <x:c r="A12" s="2"/>
      <x:c r="B12" s="2"/>
      <x:c r="C12" s="2" t="str">
        <x:v>Peak available court bookings</x:v>
      </x:c>
      <x:c r="D12" s="22" t="n">
        <x:f>'Inputs'!$D$8*'Inputs'!$D$10*D9/7</x:f>
        <x:v>548.5714285714286</x:v>
      </x:c>
      <x:c r="E12" s="22" t="n">
        <x:f>'Inputs'!$D$8*'Inputs'!$D$10*E9/7</x:f>
        <x:v>566.8571428571429</x:v>
      </x:c>
      <x:c r="F12" s="22" t="n">
        <x:f>'Inputs'!$D$8*'Inputs'!$D$10*F9/7</x:f>
        <x:v>548.5714285714286</x:v>
      </x:c>
      <x:c r="G12" s="22" t="n">
        <x:f>'Inputs'!$D$8*'Inputs'!$D$10*G9/7</x:f>
        <x:v>566.8571428571429</x:v>
      </x:c>
      <x:c r="H12" s="22" t="n">
        <x:f>'Inputs'!$D$8*'Inputs'!$D$10*H9/7</x:f>
        <x:v>566.8571428571429</x:v>
      </x:c>
      <x:c r="I12" s="22" t="n">
        <x:f>'Inputs'!$D$8*'Inputs'!$D$10*I9/7</x:f>
        <x:v>530.2857142857143</x:v>
      </x:c>
      <x:c r="J12" s="22" t="n">
        <x:f>'Inputs'!$D$8*'Inputs'!$D$10*J9/7</x:f>
        <x:v>566.8571428571429</x:v>
      </x:c>
      <x:c r="K12" s="22" t="n">
        <x:f>'Inputs'!$D$8*'Inputs'!$D$10*K9/7</x:f>
        <x:v>548.5714285714286</x:v>
      </x:c>
      <x:c r="L12" s="22" t="n">
        <x:f>'Inputs'!$D$8*'Inputs'!$D$10*L9/7</x:f>
        <x:v>566.8571428571429</x:v>
      </x:c>
      <x:c r="M12" s="22" t="n">
        <x:f>'Inputs'!$D$8*'Inputs'!$D$10*M9/7</x:f>
        <x:v>548.5714285714286</x:v>
      </x:c>
      <x:c r="N12" s="22" t="n">
        <x:f>'Inputs'!$D$8*'Inputs'!$D$10*N9/7</x:f>
        <x:v>566.8571428571429</x:v>
      </x:c>
      <x:c r="O12" s="22" t="n">
        <x:f>'Inputs'!$D$8*'Inputs'!$D$10*O9/7</x:f>
        <x:v>566.8571428571429</x:v>
      </x:c>
      <x:c r="P12" s="22" t="n">
        <x:f>'Inputs'!$D$8*'Inputs'!$D$10*P9/7</x:f>
        <x:v>548.5714285714286</x:v>
      </x:c>
      <x:c r="Q12" s="22" t="n">
        <x:f>'Inputs'!$D$8*'Inputs'!$D$10*Q9/7</x:f>
        <x:v>566.8571428571429</x:v>
      </x:c>
      <x:c r="R12" s="22" t="n">
        <x:f>'Inputs'!$D$8*'Inputs'!$D$10*R9/7</x:f>
        <x:v>548.5714285714286</x:v>
      </x:c>
      <x:c r="S12" s="22" t="n">
        <x:f>'Inputs'!$D$8*'Inputs'!$D$10*S9/7</x:f>
        <x:v>566.8571428571429</x:v>
      </x:c>
      <x:c r="T12" s="22" t="n">
        <x:f>'Inputs'!$D$8*'Inputs'!$D$10*T9/7</x:f>
        <x:v>566.8571428571429</x:v>
      </x:c>
      <x:c r="U12" s="36" t="n">
        <x:f>'Inputs'!$D$8*'Inputs'!$D$10*U9/7</x:f>
        <x:v>512</x:v>
      </x:c>
      <x:c r="V12" s="36" t="n">
        <x:f>'Inputs'!$D$8*'Inputs'!$D$10*V9/7</x:f>
        <x:v>566.8571428571429</x:v>
      </x:c>
      <x:c r="W12" s="36" t="n">
        <x:f>'Inputs'!$D$8*'Inputs'!$D$10*W9/7</x:f>
        <x:v>548.5714285714286</x:v>
      </x:c>
      <x:c r="X12" s="36" t="n">
        <x:f>'Inputs'!$D$8*'Inputs'!$D$10*X9/7</x:f>
        <x:v>566.8571428571429</x:v>
      </x:c>
      <x:c r="Y12" s="36" t="n">
        <x:f>'Inputs'!$D$8*'Inputs'!$D$10*Y9/7</x:f>
        <x:v>548.5714285714286</x:v>
      </x:c>
      <x:c r="Z12" s="36" t="n">
        <x:f>'Inputs'!$D$8*'Inputs'!$D$10*Z9/7</x:f>
        <x:v>566.8571428571429</x:v>
      </x:c>
      <x:c r="AA12" s="36" t="n">
        <x:f>'Inputs'!$D$8*'Inputs'!$D$10*AA9/7</x:f>
        <x:v>566.8571428571429</x:v>
      </x:c>
      <x:c r="AB12" s="36" t="n">
        <x:f>'Inputs'!$D$8*'Inputs'!$D$10*AB9/7</x:f>
        <x:v>548.5714285714286</x:v>
      </x:c>
      <x:c r="AC12" s="36" t="n">
        <x:f>'Inputs'!$D$8*'Inputs'!$D$10*AC9/7</x:f>
        <x:v>566.8571428571429</x:v>
      </x:c>
      <x:c r="AD12" s="36" t="n">
        <x:f>'Inputs'!$D$8*'Inputs'!$D$10*AD9/7</x:f>
        <x:v>548.5714285714286</x:v>
      </x:c>
      <x:c r="AE12" s="36" t="n">
        <x:f>'Inputs'!$D$8*'Inputs'!$D$10*AE9/7</x:f>
        <x:v>566.8571428571429</x:v>
      </x:c>
      <x:c r="AF12" s="36" t="n">
        <x:f>'Inputs'!$D$8*'Inputs'!$D$10*AF9/7</x:f>
        <x:v>566.8571428571429</x:v>
      </x:c>
      <x:c r="AG12" s="36" t="n">
        <x:f>'Inputs'!$D$8*'Inputs'!$D$10*AG9/7</x:f>
        <x:v>512</x:v>
      </x:c>
      <x:c r="AH12" s="36" t="n">
        <x:f>'Inputs'!$D$8*'Inputs'!$D$10*AH9/7</x:f>
        <x:v>566.8571428571429</x:v>
      </x:c>
      <x:c r="AI12" s="36" t="n">
        <x:f>'Inputs'!$D$8*'Inputs'!$D$10*AI9/7</x:f>
        <x:v>548.5714285714286</x:v>
      </x:c>
      <x:c r="AJ12" s="36" t="n">
        <x:f>'Inputs'!$D$8*'Inputs'!$D$10*AJ9/7</x:f>
        <x:v>566.8571428571429</x:v>
      </x:c>
      <x:c r="AK12" s="36" t="n">
        <x:f>'Inputs'!$D$8*'Inputs'!$D$10*AK9/7</x:f>
        <x:v>548.5714285714286</x:v>
      </x:c>
      <x:c r="AL12" s="36" t="n">
        <x:f>'Inputs'!$D$8*'Inputs'!$D$10*AL9/7</x:f>
        <x:v>566.8571428571429</x:v>
      </x:c>
      <x:c r="AM12" s="36" t="n">
        <x:f>'Inputs'!$D$8*'Inputs'!$D$10*AM9/7</x:f>
        <x:v>566.8571428571429</x:v>
      </x:c>
      <x:c r="AN12" s="36" t="n">
        <x:f>'Inputs'!$D$8*'Inputs'!$D$10*AN9/7</x:f>
        <x:v>548.5714285714286</x:v>
      </x:c>
      <x:c r="AO12" s="36" t="n">
        <x:f>'Inputs'!$D$8*'Inputs'!$D$10*AO9/7</x:f>
        <x:v>566.8571428571429</x:v>
      </x:c>
      <x:c r="AP12" s="36" t="n">
        <x:f>'Inputs'!$D$8*'Inputs'!$D$10*AP9/7</x:f>
        <x:v>548.5714285714286</x:v>
      </x:c>
      <x:c r="AQ12" s="36" t="n">
        <x:f>'Inputs'!$D$8*'Inputs'!$D$10*AQ9/7</x:f>
        <x:v>566.8571428571429</x:v>
      </x:c>
      <x:c r="AR12" s="36" t="n">
        <x:f>'Inputs'!$D$8*'Inputs'!$D$10*AR9/7</x:f>
        <x:v>566.8571428571429</x:v>
      </x:c>
      <x:c r="AS12" s="36" t="n">
        <x:f>'Inputs'!$D$8*'Inputs'!$D$10*AS9/7</x:f>
        <x:v>512</x:v>
      </x:c>
      <x:c r="AT12" s="36" t="n">
        <x:f>'Inputs'!$D$8*'Inputs'!$D$10*AT9/7</x:f>
        <x:v>566.8571428571429</x:v>
      </x:c>
      <x:c r="AU12" s="36" t="n">
        <x:f>'Inputs'!$D$8*'Inputs'!$D$10*AU9/7</x:f>
        <x:v>548.5714285714286</x:v>
      </x:c>
      <x:c r="AV12" s="36" t="n">
        <x:f>'Inputs'!$D$8*'Inputs'!$D$10*AV9/7</x:f>
        <x:v>566.8571428571429</x:v>
      </x:c>
      <x:c r="AW12" s="36" t="n">
        <x:f>'Inputs'!$D$8*'Inputs'!$D$10*AW9/7</x:f>
        <x:v>548.5714285714286</x:v>
      </x:c>
      <x:c r="AX12" s="36" t="n">
        <x:f>'Inputs'!$D$8*'Inputs'!$D$10*AX9/7</x:f>
        <x:v>566.8571428571429</x:v>
      </x:c>
      <x:c r="AY12" s="36" t="n">
        <x:f>'Inputs'!$D$8*'Inputs'!$D$10*AY9/7</x:f>
        <x:v>566.8571428571429</x:v>
      </x:c>
      <x:c r="AZ12" s="36" t="n">
        <x:f>'Inputs'!$D$8*'Inputs'!$D$10*AZ9/7</x:f>
        <x:v>548.5714285714286</x:v>
      </x:c>
      <x:c r="BA12" s="36" t="n">
        <x:f>'Inputs'!$D$8*'Inputs'!$D$10*BA9/7</x:f>
        <x:v>566.8571428571429</x:v>
      </x:c>
      <x:c r="BB12" s="36" t="n">
        <x:f>'Inputs'!$D$8*'Inputs'!$D$10*BB9/7</x:f>
        <x:v>548.5714285714286</x:v>
      </x:c>
      <x:c r="BC12" s="36" t="n">
        <x:f>'Inputs'!$D$8*'Inputs'!$D$10*BC9/7</x:f>
        <x:v>566.8571428571429</x:v>
      </x:c>
      <x:c r="BD12" s="36" t="n">
        <x:f>'Inputs'!$D$8*'Inputs'!$D$10*BD9/7</x:f>
        <x:v>566.8571428571429</x:v>
      </x:c>
      <x:c r="BE12" s="36" t="n">
        <x:f>'Inputs'!$D$8*'Inputs'!$D$10*BE9/7</x:f>
        <x:v>530.2857142857143</x:v>
      </x:c>
      <x:c r="BF12" s="36" t="n">
        <x:f>'Inputs'!$D$8*'Inputs'!$D$10*BF9/7</x:f>
        <x:v>566.8571428571429</x:v>
      </x:c>
      <x:c r="BG12" s="36" t="n">
        <x:f>'Inputs'!$D$8*'Inputs'!$D$10*BG9/7</x:f>
        <x:v>548.5714285714286</x:v>
      </x:c>
      <x:c r="BH12" s="36" t="n">
        <x:f>'Inputs'!$D$8*'Inputs'!$D$10*BH9/7</x:f>
        <x:v>566.8571428571429</x:v>
      </x:c>
      <x:c r="BI12" s="36" t="n">
        <x:f>'Inputs'!$D$8*'Inputs'!$D$10*BI9/7</x:f>
        <x:v>548.5714285714286</x:v>
      </x:c>
      <x:c r="BJ12" s="36" t="n">
        <x:f>'Inputs'!$D$8*'Inputs'!$D$10*BJ9/7</x:f>
        <x:v>566.8571428571429</x:v>
      </x:c>
      <x:c r="BK12" s="36" t="n">
        <x:f>'Inputs'!$D$8*'Inputs'!$D$10*BK9/7</x:f>
        <x:v>566.8571428571429</x:v>
      </x:c>
    </x:row>
    <x:row r="13" ht="21" customHeight="1">
      <x:c r="A13" s="2"/>
      <x:c r="B13" s="2"/>
      <x:c r="C13" s="2" t="str">
        <x:v>Off peak available court bookings</x:v>
      </x:c>
      <x:c r="D13" s="22" t="n">
        <x:f>'Inputs'!$D$8*'Inputs'!$D$11*D9/7</x:f>
        <x:v>531.4285714285714</x:v>
      </x:c>
      <x:c r="E13" s="22" t="n">
        <x:f>'Inputs'!$D$8*'Inputs'!$D$11*E9/7</x:f>
        <x:v>549.1428571428571</x:v>
      </x:c>
      <x:c r="F13" s="22" t="n">
        <x:f>'Inputs'!$D$8*'Inputs'!$D$11*F9/7</x:f>
        <x:v>531.4285714285714</x:v>
      </x:c>
      <x:c r="G13" s="22" t="n">
        <x:f>'Inputs'!$D$8*'Inputs'!$D$11*G9/7</x:f>
        <x:v>549.1428571428571</x:v>
      </x:c>
      <x:c r="H13" s="22" t="n">
        <x:f>'Inputs'!$D$8*'Inputs'!$D$11*H9/7</x:f>
        <x:v>549.1428571428571</x:v>
      </x:c>
      <x:c r="I13" s="22" t="n">
        <x:f>'Inputs'!$D$8*'Inputs'!$D$11*I9/7</x:f>
        <x:v>513.7142857142857</x:v>
      </x:c>
      <x:c r="J13" s="22" t="n">
        <x:f>'Inputs'!$D$8*'Inputs'!$D$11*J9/7</x:f>
        <x:v>549.1428571428571</x:v>
      </x:c>
      <x:c r="K13" s="22" t="n">
        <x:f>'Inputs'!$D$8*'Inputs'!$D$11*K9/7</x:f>
        <x:v>531.4285714285714</x:v>
      </x:c>
      <x:c r="L13" s="22" t="n">
        <x:f>'Inputs'!$D$8*'Inputs'!$D$11*L9/7</x:f>
        <x:v>549.1428571428571</x:v>
      </x:c>
      <x:c r="M13" s="22" t="n">
        <x:f>'Inputs'!$D$8*'Inputs'!$D$11*M9/7</x:f>
        <x:v>531.4285714285714</x:v>
      </x:c>
      <x:c r="N13" s="22" t="n">
        <x:f>'Inputs'!$D$8*'Inputs'!$D$11*N9/7</x:f>
        <x:v>549.1428571428571</x:v>
      </x:c>
      <x:c r="O13" s="22" t="n">
        <x:f>'Inputs'!$D$8*'Inputs'!$D$11*O9/7</x:f>
        <x:v>549.1428571428571</x:v>
      </x:c>
      <x:c r="P13" s="22" t="n">
        <x:f>'Inputs'!$D$8*'Inputs'!$D$11*P9/7</x:f>
        <x:v>531.4285714285714</x:v>
      </x:c>
      <x:c r="Q13" s="22" t="n">
        <x:f>'Inputs'!$D$8*'Inputs'!$D$11*Q9/7</x:f>
        <x:v>549.1428571428571</x:v>
      </x:c>
      <x:c r="R13" s="22" t="n">
        <x:f>'Inputs'!$D$8*'Inputs'!$D$11*R9/7</x:f>
        <x:v>531.4285714285714</x:v>
      </x:c>
      <x:c r="S13" s="22" t="n">
        <x:f>'Inputs'!$D$8*'Inputs'!$D$11*S9/7</x:f>
        <x:v>549.1428571428571</x:v>
      </x:c>
      <x:c r="T13" s="22" t="n">
        <x:f>'Inputs'!$D$8*'Inputs'!$D$11*T9/7</x:f>
        <x:v>549.1428571428571</x:v>
      </x:c>
      <x:c r="U13" s="36" t="n">
        <x:f>'Inputs'!$D$8*'Inputs'!$D$11*U9/7</x:f>
        <x:v>496</x:v>
      </x:c>
      <x:c r="V13" s="36" t="n">
        <x:f>'Inputs'!$D$8*'Inputs'!$D$11*V9/7</x:f>
        <x:v>549.1428571428571</x:v>
      </x:c>
      <x:c r="W13" s="36" t="n">
        <x:f>'Inputs'!$D$8*'Inputs'!$D$11*W9/7</x:f>
        <x:v>531.4285714285714</x:v>
      </x:c>
      <x:c r="X13" s="36" t="n">
        <x:f>'Inputs'!$D$8*'Inputs'!$D$11*X9/7</x:f>
        <x:v>549.1428571428571</x:v>
      </x:c>
      <x:c r="Y13" s="36" t="n">
        <x:f>'Inputs'!$D$8*'Inputs'!$D$11*Y9/7</x:f>
        <x:v>531.4285714285714</x:v>
      </x:c>
      <x:c r="Z13" s="36" t="n">
        <x:f>'Inputs'!$D$8*'Inputs'!$D$11*Z9/7</x:f>
        <x:v>549.1428571428571</x:v>
      </x:c>
      <x:c r="AA13" s="36" t="n">
        <x:f>'Inputs'!$D$8*'Inputs'!$D$11*AA9/7</x:f>
        <x:v>549.1428571428571</x:v>
      </x:c>
      <x:c r="AB13" s="36" t="n">
        <x:f>'Inputs'!$D$8*'Inputs'!$D$11*AB9/7</x:f>
        <x:v>531.4285714285714</x:v>
      </x:c>
      <x:c r="AC13" s="36" t="n">
        <x:f>'Inputs'!$D$8*'Inputs'!$D$11*AC9/7</x:f>
        <x:v>549.1428571428571</x:v>
      </x:c>
      <x:c r="AD13" s="36" t="n">
        <x:f>'Inputs'!$D$8*'Inputs'!$D$11*AD9/7</x:f>
        <x:v>531.4285714285714</x:v>
      </x:c>
      <x:c r="AE13" s="36" t="n">
        <x:f>'Inputs'!$D$8*'Inputs'!$D$11*AE9/7</x:f>
        <x:v>549.1428571428571</x:v>
      </x:c>
      <x:c r="AF13" s="36" t="n">
        <x:f>'Inputs'!$D$8*'Inputs'!$D$11*AF9/7</x:f>
        <x:v>549.1428571428571</x:v>
      </x:c>
      <x:c r="AG13" s="36" t="n">
        <x:f>'Inputs'!$D$8*'Inputs'!$D$11*AG9/7</x:f>
        <x:v>496</x:v>
      </x:c>
      <x:c r="AH13" s="36" t="n">
        <x:f>'Inputs'!$D$8*'Inputs'!$D$11*AH9/7</x:f>
        <x:v>549.1428571428571</x:v>
      </x:c>
      <x:c r="AI13" s="36" t="n">
        <x:f>'Inputs'!$D$8*'Inputs'!$D$11*AI9/7</x:f>
        <x:v>531.4285714285714</x:v>
      </x:c>
      <x:c r="AJ13" s="36" t="n">
        <x:f>'Inputs'!$D$8*'Inputs'!$D$11*AJ9/7</x:f>
        <x:v>549.1428571428571</x:v>
      </x:c>
      <x:c r="AK13" s="36" t="n">
        <x:f>'Inputs'!$D$8*'Inputs'!$D$11*AK9/7</x:f>
        <x:v>531.4285714285714</x:v>
      </x:c>
      <x:c r="AL13" s="36" t="n">
        <x:f>'Inputs'!$D$8*'Inputs'!$D$11*AL9/7</x:f>
        <x:v>549.1428571428571</x:v>
      </x:c>
      <x:c r="AM13" s="36" t="n">
        <x:f>'Inputs'!$D$8*'Inputs'!$D$11*AM9/7</x:f>
        <x:v>549.1428571428571</x:v>
      </x:c>
      <x:c r="AN13" s="36" t="n">
        <x:f>'Inputs'!$D$8*'Inputs'!$D$11*AN9/7</x:f>
        <x:v>531.4285714285714</x:v>
      </x:c>
      <x:c r="AO13" s="36" t="n">
        <x:f>'Inputs'!$D$8*'Inputs'!$D$11*AO9/7</x:f>
        <x:v>549.1428571428571</x:v>
      </x:c>
      <x:c r="AP13" s="36" t="n">
        <x:f>'Inputs'!$D$8*'Inputs'!$D$11*AP9/7</x:f>
        <x:v>531.4285714285714</x:v>
      </x:c>
      <x:c r="AQ13" s="36" t="n">
        <x:f>'Inputs'!$D$8*'Inputs'!$D$11*AQ9/7</x:f>
        <x:v>549.1428571428571</x:v>
      </x:c>
      <x:c r="AR13" s="36" t="n">
        <x:f>'Inputs'!$D$8*'Inputs'!$D$11*AR9/7</x:f>
        <x:v>549.1428571428571</x:v>
      </x:c>
      <x:c r="AS13" s="36" t="n">
        <x:f>'Inputs'!$D$8*'Inputs'!$D$11*AS9/7</x:f>
        <x:v>496</x:v>
      </x:c>
      <x:c r="AT13" s="36" t="n">
        <x:f>'Inputs'!$D$8*'Inputs'!$D$11*AT9/7</x:f>
        <x:v>549.1428571428571</x:v>
      </x:c>
      <x:c r="AU13" s="36" t="n">
        <x:f>'Inputs'!$D$8*'Inputs'!$D$11*AU9/7</x:f>
        <x:v>531.4285714285714</x:v>
      </x:c>
      <x:c r="AV13" s="36" t="n">
        <x:f>'Inputs'!$D$8*'Inputs'!$D$11*AV9/7</x:f>
        <x:v>549.1428571428571</x:v>
      </x:c>
      <x:c r="AW13" s="36" t="n">
        <x:f>'Inputs'!$D$8*'Inputs'!$D$11*AW9/7</x:f>
        <x:v>531.4285714285714</x:v>
      </x:c>
      <x:c r="AX13" s="36" t="n">
        <x:f>'Inputs'!$D$8*'Inputs'!$D$11*AX9/7</x:f>
        <x:v>549.1428571428571</x:v>
      </x:c>
      <x:c r="AY13" s="36" t="n">
        <x:f>'Inputs'!$D$8*'Inputs'!$D$11*AY9/7</x:f>
        <x:v>549.1428571428571</x:v>
      </x:c>
      <x:c r="AZ13" s="36" t="n">
        <x:f>'Inputs'!$D$8*'Inputs'!$D$11*AZ9/7</x:f>
        <x:v>531.4285714285714</x:v>
      </x:c>
      <x:c r="BA13" s="36" t="n">
        <x:f>'Inputs'!$D$8*'Inputs'!$D$11*BA9/7</x:f>
        <x:v>549.1428571428571</x:v>
      </x:c>
      <x:c r="BB13" s="36" t="n">
        <x:f>'Inputs'!$D$8*'Inputs'!$D$11*BB9/7</x:f>
        <x:v>531.4285714285714</x:v>
      </x:c>
      <x:c r="BC13" s="36" t="n">
        <x:f>'Inputs'!$D$8*'Inputs'!$D$11*BC9/7</x:f>
        <x:v>549.1428571428571</x:v>
      </x:c>
      <x:c r="BD13" s="36" t="n">
        <x:f>'Inputs'!$D$8*'Inputs'!$D$11*BD9/7</x:f>
        <x:v>549.1428571428571</x:v>
      </x:c>
      <x:c r="BE13" s="36" t="n">
        <x:f>'Inputs'!$D$8*'Inputs'!$D$11*BE9/7</x:f>
        <x:v>513.7142857142857</x:v>
      </x:c>
      <x:c r="BF13" s="36" t="n">
        <x:f>'Inputs'!$D$8*'Inputs'!$D$11*BF9/7</x:f>
        <x:v>549.1428571428571</x:v>
      </x:c>
      <x:c r="BG13" s="36" t="n">
        <x:f>'Inputs'!$D$8*'Inputs'!$D$11*BG9/7</x:f>
        <x:v>531.4285714285714</x:v>
      </x:c>
      <x:c r="BH13" s="36" t="n">
        <x:f>'Inputs'!$D$8*'Inputs'!$D$11*BH9/7</x:f>
        <x:v>549.1428571428571</x:v>
      </x:c>
      <x:c r="BI13" s="36" t="n">
        <x:f>'Inputs'!$D$8*'Inputs'!$D$11*BI9/7</x:f>
        <x:v>531.4285714285714</x:v>
      </x:c>
      <x:c r="BJ13" s="36" t="n">
        <x:f>'Inputs'!$D$8*'Inputs'!$D$11*BJ9/7</x:f>
        <x:v>549.1428571428571</x:v>
      </x:c>
      <x:c r="BK13" s="36" t="n">
        <x:f>'Inputs'!$D$8*'Inputs'!$D$11*BK9/7</x:f>
        <x:v>549.1428571428571</x:v>
      </x:c>
    </x:row>
    <x:row r="14" ht="21" customHeight="1">
      <x:c r="A14" s="2"/>
      <x:c r="B14" s="2"/>
      <x:c r="C14" s="2" t="str">
        <x:v>Peak paid utilization</x:v>
      </x:c>
      <x:c r="D14" s="40" t="n">
        <x:f>MIN(0.95,INDEX('Inputs'!$D$72:$H$72,1,D7)*D10)</x:f>
        <x:v>0.5225</x:v>
      </x:c>
      <x:c r="E14" s="40" t="n">
        <x:f>MIN(0.95,INDEX('Inputs'!$D$72:$H$72,1,E7)*E10)</x:f>
        <x:v>0.6050000000000001</x:v>
      </x:c>
      <x:c r="F14" s="40" t="n">
        <x:f>MIN(0.95,INDEX('Inputs'!$D$72:$H$72,1,F7)*F10)</x:f>
        <x:v>0.6325</x:v>
      </x:c>
      <x:c r="G14" s="40" t="n">
        <x:f>MIN(0.95,INDEX('Inputs'!$D$72:$H$72,1,G7)*G10)</x:f>
        <x:v>0.66</x:v>
      </x:c>
      <x:c r="H14" s="40" t="n">
        <x:f>MIN(0.95,INDEX('Inputs'!$D$72:$H$72,1,H7)*H10)</x:f>
        <x:v>0.6050000000000001</x:v>
      </x:c>
      <x:c r="I14" s="40" t="n">
        <x:f>MIN(0.95,INDEX('Inputs'!$D$72:$H$72,1,I7)*I10)</x:f>
        <x:v>0.6050000000000001</x:v>
      </x:c>
      <x:c r="J14" s="40" t="n">
        <x:f>MIN(0.95,INDEX('Inputs'!$D$72:$H$72,1,J7)*J10)</x:f>
        <x:v>0.5775000000000001</x:v>
      </x:c>
      <x:c r="K14" s="40" t="n">
        <x:f>MIN(0.95,INDEX('Inputs'!$D$72:$H$72,1,K7)*K10)</x:f>
        <x:v>0.5225</x:v>
      </x:c>
      <x:c r="L14" s="40" t="n">
        <x:f>MIN(0.95,INDEX('Inputs'!$D$72:$H$72,1,L7)*L10)</x:f>
        <x:v>0.49500000000000005</x:v>
      </x:c>
      <x:c r="M14" s="40" t="n">
        <x:f>MIN(0.95,INDEX('Inputs'!$D$72:$H$72,1,M7)*M10)</x:f>
        <x:v>0.4675</x:v>
      </x:c>
      <x:c r="N14" s="40" t="n">
        <x:f>MIN(0.95,INDEX('Inputs'!$D$72:$H$72,1,N7)*N10)</x:f>
        <x:v>0.44000000000000006</x:v>
      </x:c>
      <x:c r="O14" s="40" t="n">
        <x:f>MIN(0.95,INDEX('Inputs'!$D$72:$H$72,1,O7)*O10)</x:f>
        <x:v>0.4675</x:v>
      </x:c>
      <x:c r="P14" s="40" t="n">
        <x:f>MIN(0.95,INDEX('Inputs'!$D$72:$H$72,1,P7)*P10)</x:f>
        <x:v>0.6839999999999999</x:v>
      </x:c>
      <x:c r="Q14" s="40" t="n">
        <x:f>MIN(0.95,INDEX('Inputs'!$D$72:$H$72,1,Q7)*Q10)</x:f>
        <x:v>0.792</x:v>
      </x:c>
      <x:c r="R14" s="40" t="n">
        <x:f>MIN(0.95,INDEX('Inputs'!$D$72:$H$72,1,R7)*R10)</x:f>
        <x:v>0.828</x:v>
      </x:c>
      <x:c r="S14" s="40" t="n">
        <x:f>MIN(0.95,INDEX('Inputs'!$D$72:$H$72,1,S7)*S10)</x:f>
        <x:v>0.864</x:v>
      </x:c>
      <x:c r="T14" s="40" t="n">
        <x:f>MIN(0.95,INDEX('Inputs'!$D$72:$H$72,1,T7)*T10)</x:f>
        <x:v>0.792</x:v>
      </x:c>
      <x:c r="U14" s="41" t="n">
        <x:f>MIN(0.95,INDEX('Inputs'!$D$72:$H$72,1,U7)*U10)</x:f>
        <x:v>0.792</x:v>
      </x:c>
      <x:c r="V14" s="41" t="n">
        <x:f>MIN(0.95,INDEX('Inputs'!$D$72:$H$72,1,V7)*V10)</x:f>
        <x:v>0.756</x:v>
      </x:c>
      <x:c r="W14" s="41" t="n">
        <x:f>MIN(0.95,INDEX('Inputs'!$D$72:$H$72,1,W7)*W10)</x:f>
        <x:v>0.6839999999999999</x:v>
      </x:c>
      <x:c r="X14" s="41" t="n">
        <x:f>MIN(0.95,INDEX('Inputs'!$D$72:$H$72,1,X7)*X10)</x:f>
        <x:v>0.648</x:v>
      </x:c>
      <x:c r="Y14" s="41" t="n">
        <x:f>MIN(0.95,INDEX('Inputs'!$D$72:$H$72,1,Y7)*Y10)</x:f>
        <x:v>0.612</x:v>
      </x:c>
      <x:c r="Z14" s="41" t="n">
        <x:f>MIN(0.95,INDEX('Inputs'!$D$72:$H$72,1,Z7)*Z10)</x:f>
        <x:v>0.576</x:v>
      </x:c>
      <x:c r="AA14" s="41" t="n">
        <x:f>MIN(0.95,INDEX('Inputs'!$D$72:$H$72,1,AA7)*AA10)</x:f>
        <x:v>0.612</x:v>
      </x:c>
      <x:c r="AB14" s="41" t="n">
        <x:f>MIN(0.95,INDEX('Inputs'!$D$72:$H$72,1,AB7)*AB10)</x:f>
        <x:v>0.7789999999999999</x:v>
      </x:c>
      <x:c r="AC14" s="41" t="n">
        <x:f>MIN(0.95,INDEX('Inputs'!$D$72:$H$72,1,AC7)*AC10)</x:f>
        <x:v>0.902</x:v>
      </x:c>
      <x:c r="AD14" s="41" t="n">
        <x:f>MIN(0.95,INDEX('Inputs'!$D$72:$H$72,1,AD7)*AD10)</x:f>
        <x:v>0.9429999999999998</x:v>
      </x:c>
      <x:c r="AE14" s="41" t="n">
        <x:f>MIN(0.95,INDEX('Inputs'!$D$72:$H$72,1,AE7)*AE10)</x:f>
        <x:v>0.95</x:v>
      </x:c>
      <x:c r="AF14" s="41" t="n">
        <x:f>MIN(0.95,INDEX('Inputs'!$D$72:$H$72,1,AF7)*AF10)</x:f>
        <x:v>0.902</x:v>
      </x:c>
      <x:c r="AG14" s="41" t="n">
        <x:f>MIN(0.95,INDEX('Inputs'!$D$72:$H$72,1,AG7)*AG10)</x:f>
        <x:v>0.902</x:v>
      </x:c>
      <x:c r="AH14" s="41" t="n">
        <x:f>MIN(0.95,INDEX('Inputs'!$D$72:$H$72,1,AH7)*AH10)</x:f>
        <x:v>0.861</x:v>
      </x:c>
      <x:c r="AI14" s="41" t="n">
        <x:f>MIN(0.95,INDEX('Inputs'!$D$72:$H$72,1,AI7)*AI10)</x:f>
        <x:v>0.7789999999999999</x:v>
      </x:c>
      <x:c r="AJ14" s="41" t="n">
        <x:f>MIN(0.95,INDEX('Inputs'!$D$72:$H$72,1,AJ7)*AJ10)</x:f>
        <x:v>0.738</x:v>
      </x:c>
      <x:c r="AK14" s="41" t="n">
        <x:f>MIN(0.95,INDEX('Inputs'!$D$72:$H$72,1,AK7)*AK10)</x:f>
        <x:v>0.697</x:v>
      </x:c>
      <x:c r="AL14" s="41" t="n">
        <x:f>MIN(0.95,INDEX('Inputs'!$D$72:$H$72,1,AL7)*AL10)</x:f>
        <x:v>0.656</x:v>
      </x:c>
      <x:c r="AM14" s="41" t="n">
        <x:f>MIN(0.95,INDEX('Inputs'!$D$72:$H$72,1,AM7)*AM10)</x:f>
        <x:v>0.697</x:v>
      </x:c>
      <x:c r="AN14" s="41" t="n">
        <x:f>MIN(0.95,INDEX('Inputs'!$D$72:$H$72,1,AN7)*AN10)</x:f>
        <x:v>0.7979999999999999</x:v>
      </x:c>
      <x:c r="AO14" s="41" t="n">
        <x:f>MIN(0.95,INDEX('Inputs'!$D$72:$H$72,1,AO7)*AO10)</x:f>
        <x:v>0.924</x:v>
      </x:c>
      <x:c r="AP14" s="41" t="n">
        <x:f>MIN(0.95,INDEX('Inputs'!$D$72:$H$72,1,AP7)*AP10)</x:f>
        <x:v>0.95</x:v>
      </x:c>
      <x:c r="AQ14" s="41" t="n">
        <x:f>MIN(0.95,INDEX('Inputs'!$D$72:$H$72,1,AQ7)*AQ10)</x:f>
        <x:v>0.95</x:v>
      </x:c>
      <x:c r="AR14" s="41" t="n">
        <x:f>MIN(0.95,INDEX('Inputs'!$D$72:$H$72,1,AR7)*AR10)</x:f>
        <x:v>0.924</x:v>
      </x:c>
      <x:c r="AS14" s="41" t="n">
        <x:f>MIN(0.95,INDEX('Inputs'!$D$72:$H$72,1,AS7)*AS10)</x:f>
        <x:v>0.924</x:v>
      </x:c>
      <x:c r="AT14" s="41" t="n">
        <x:f>MIN(0.95,INDEX('Inputs'!$D$72:$H$72,1,AT7)*AT10)</x:f>
        <x:v>0.882</x:v>
      </x:c>
      <x:c r="AU14" s="41" t="n">
        <x:f>MIN(0.95,INDEX('Inputs'!$D$72:$H$72,1,AU7)*AU10)</x:f>
        <x:v>0.7979999999999999</x:v>
      </x:c>
      <x:c r="AV14" s="41" t="n">
        <x:f>MIN(0.95,INDEX('Inputs'!$D$72:$H$72,1,AV7)*AV10)</x:f>
        <x:v>0.756</x:v>
      </x:c>
      <x:c r="AW14" s="41" t="n">
        <x:f>MIN(0.95,INDEX('Inputs'!$D$72:$H$72,1,AW7)*AW10)</x:f>
        <x:v>0.714</x:v>
      </x:c>
      <x:c r="AX14" s="41" t="n">
        <x:f>MIN(0.95,INDEX('Inputs'!$D$72:$H$72,1,AX7)*AX10)</x:f>
        <x:v>0.672</x:v>
      </x:c>
      <x:c r="AY14" s="41" t="n">
        <x:f>MIN(0.95,INDEX('Inputs'!$D$72:$H$72,1,AY7)*AY10)</x:f>
        <x:v>0.714</x:v>
      </x:c>
      <x:c r="AZ14" s="41" t="n">
        <x:f>MIN(0.95,INDEX('Inputs'!$D$72:$H$72,1,AZ7)*AZ10)</x:f>
        <x:v>0.817</x:v>
      </x:c>
      <x:c r="BA14" s="41" t="n">
        <x:f>MIN(0.95,INDEX('Inputs'!$D$72:$H$72,1,BA7)*BA10)</x:f>
        <x:v>0.9460000000000001</x:v>
      </x:c>
      <x:c r="BB14" s="41" t="n">
        <x:f>MIN(0.95,INDEX('Inputs'!$D$72:$H$72,1,BB7)*BB10)</x:f>
        <x:v>0.95</x:v>
      </x:c>
      <x:c r="BC14" s="41" t="n">
        <x:f>MIN(0.95,INDEX('Inputs'!$D$72:$H$72,1,BC7)*BC10)</x:f>
        <x:v>0.95</x:v>
      </x:c>
      <x:c r="BD14" s="41" t="n">
        <x:f>MIN(0.95,INDEX('Inputs'!$D$72:$H$72,1,BD7)*BD10)</x:f>
        <x:v>0.9460000000000001</x:v>
      </x:c>
      <x:c r="BE14" s="41" t="n">
        <x:f>MIN(0.95,INDEX('Inputs'!$D$72:$H$72,1,BE7)*BE10)</x:f>
        <x:v>0.9460000000000001</x:v>
      </x:c>
      <x:c r="BF14" s="41" t="n">
        <x:f>MIN(0.95,INDEX('Inputs'!$D$72:$H$72,1,BF7)*BF10)</x:f>
        <x:v>0.903</x:v>
      </x:c>
      <x:c r="BG14" s="41" t="n">
        <x:f>MIN(0.95,INDEX('Inputs'!$D$72:$H$72,1,BG7)*BG10)</x:f>
        <x:v>0.817</x:v>
      </x:c>
      <x:c r="BH14" s="41" t="n">
        <x:f>MIN(0.95,INDEX('Inputs'!$D$72:$H$72,1,BH7)*BH10)</x:f>
        <x:v>0.774</x:v>
      </x:c>
      <x:c r="BI14" s="41" t="n">
        <x:f>MIN(0.95,INDEX('Inputs'!$D$72:$H$72,1,BI7)*BI10)</x:f>
        <x:v>0.731</x:v>
      </x:c>
      <x:c r="BJ14" s="41" t="n">
        <x:f>MIN(0.95,INDEX('Inputs'!$D$72:$H$72,1,BJ7)*BJ10)</x:f>
        <x:v>0.6880000000000001</x:v>
      </x:c>
      <x:c r="BK14" s="41" t="n">
        <x:f>MIN(0.95,INDEX('Inputs'!$D$72:$H$72,1,BK7)*BK10)</x:f>
        <x:v>0.731</x:v>
      </x:c>
    </x:row>
    <x:row r="15" ht="21" customHeight="1">
      <x:c r="A15" s="2"/>
      <x:c r="B15" s="2"/>
      <x:c r="C15" s="2" t="str">
        <x:v>Off peak paid utilization</x:v>
      </x:c>
      <x:c r="D15" s="40" t="n">
        <x:f>MIN(0.95,INDEX('Inputs'!$D$78:$H$78,1,D7)*D10)</x:f>
        <x:v>0.209</x:v>
      </x:c>
      <x:c r="E15" s="40" t="n">
        <x:f>MIN(0.95,INDEX('Inputs'!$D$78:$H$78,1,E7)*E10)</x:f>
        <x:v>0.24200000000000002</x:v>
      </x:c>
      <x:c r="F15" s="40" t="n">
        <x:f>MIN(0.95,INDEX('Inputs'!$D$78:$H$78,1,F7)*F10)</x:f>
        <x:v>0.253</x:v>
      </x:c>
      <x:c r="G15" s="40" t="n">
        <x:f>MIN(0.95,INDEX('Inputs'!$D$78:$H$78,1,G7)*G10)</x:f>
        <x:v>0.264</x:v>
      </x:c>
      <x:c r="H15" s="40" t="n">
        <x:f>MIN(0.95,INDEX('Inputs'!$D$78:$H$78,1,H7)*H10)</x:f>
        <x:v>0.24200000000000002</x:v>
      </x:c>
      <x:c r="I15" s="40" t="n">
        <x:f>MIN(0.95,INDEX('Inputs'!$D$78:$H$78,1,I7)*I10)</x:f>
        <x:v>0.24200000000000002</x:v>
      </x:c>
      <x:c r="J15" s="40" t="n">
        <x:f>MIN(0.95,INDEX('Inputs'!$D$78:$H$78,1,J7)*J10)</x:f>
        <x:v>0.231</x:v>
      </x:c>
      <x:c r="K15" s="40" t="n">
        <x:f>MIN(0.95,INDEX('Inputs'!$D$78:$H$78,1,K7)*K10)</x:f>
        <x:v>0.209</x:v>
      </x:c>
      <x:c r="L15" s="40" t="n">
        <x:f>MIN(0.95,INDEX('Inputs'!$D$78:$H$78,1,L7)*L10)</x:f>
        <x:v>0.198</x:v>
      </x:c>
      <x:c r="M15" s="40" t="n">
        <x:f>MIN(0.95,INDEX('Inputs'!$D$78:$H$78,1,M7)*M10)</x:f>
        <x:v>0.187</x:v>
      </x:c>
      <x:c r="N15" s="40" t="n">
        <x:f>MIN(0.95,INDEX('Inputs'!$D$78:$H$78,1,N7)*N10)</x:f>
        <x:v>0.17600000000000002</x:v>
      </x:c>
      <x:c r="O15" s="40" t="n">
        <x:f>MIN(0.95,INDEX('Inputs'!$D$78:$H$78,1,O7)*O10)</x:f>
        <x:v>0.187</x:v>
      </x:c>
      <x:c r="P15" s="40" t="n">
        <x:f>MIN(0.95,INDEX('Inputs'!$D$78:$H$78,1,P7)*P10)</x:f>
        <x:v>0.304</x:v>
      </x:c>
      <x:c r="Q15" s="40" t="n">
        <x:f>MIN(0.95,INDEX('Inputs'!$D$78:$H$78,1,Q7)*Q10)</x:f>
        <x:v>0.35200000000000004</x:v>
      </x:c>
      <x:c r="R15" s="40" t="n">
        <x:f>MIN(0.95,INDEX('Inputs'!$D$78:$H$78,1,R7)*R10)</x:f>
        <x:v>0.368</x:v>
      </x:c>
      <x:c r="S15" s="40" t="n">
        <x:f>MIN(0.95,INDEX('Inputs'!$D$78:$H$78,1,S7)*S10)</x:f>
        <x:v>0.384</x:v>
      </x:c>
      <x:c r="T15" s="40" t="n">
        <x:f>MIN(0.95,INDEX('Inputs'!$D$78:$H$78,1,T7)*T10)</x:f>
        <x:v>0.35200000000000004</x:v>
      </x:c>
      <x:c r="U15" s="41" t="n">
        <x:f>MIN(0.95,INDEX('Inputs'!$D$78:$H$78,1,U7)*U10)</x:f>
        <x:v>0.35200000000000004</x:v>
      </x:c>
      <x:c r="V15" s="41" t="n">
        <x:f>MIN(0.95,INDEX('Inputs'!$D$78:$H$78,1,V7)*V10)</x:f>
        <x:v>0.336</x:v>
      </x:c>
      <x:c r="W15" s="41" t="n">
        <x:f>MIN(0.95,INDEX('Inputs'!$D$78:$H$78,1,W7)*W10)</x:f>
        <x:v>0.304</x:v>
      </x:c>
      <x:c r="X15" s="41" t="n">
        <x:f>MIN(0.95,INDEX('Inputs'!$D$78:$H$78,1,X7)*X10)</x:f>
        <x:v>0.28800000000000003</x:v>
      </x:c>
      <x:c r="Y15" s="41" t="n">
        <x:f>MIN(0.95,INDEX('Inputs'!$D$78:$H$78,1,Y7)*Y10)</x:f>
        <x:v>0.272</x:v>
      </x:c>
      <x:c r="Z15" s="41" t="n">
        <x:f>MIN(0.95,INDEX('Inputs'!$D$78:$H$78,1,Z7)*Z10)</x:f>
        <x:v>0.256</x:v>
      </x:c>
      <x:c r="AA15" s="41" t="n">
        <x:f>MIN(0.95,INDEX('Inputs'!$D$78:$H$78,1,AA7)*AA10)</x:f>
        <x:v>0.272</x:v>
      </x:c>
      <x:c r="AB15" s="41" t="n">
        <x:f>MIN(0.95,INDEX('Inputs'!$D$78:$H$78,1,AB7)*AB10)</x:f>
        <x:v>0.38</x:v>
      </x:c>
      <x:c r="AC15" s="41" t="n">
        <x:f>MIN(0.95,INDEX('Inputs'!$D$78:$H$78,1,AC7)*AC10)</x:f>
        <x:v>0.44000000000000006</x:v>
      </x:c>
      <x:c r="AD15" s="41" t="n">
        <x:f>MIN(0.95,INDEX('Inputs'!$D$78:$H$78,1,AD7)*AD10)</x:f>
        <x:v>0.45999999999999996</x:v>
      </x:c>
      <x:c r="AE15" s="41" t="n">
        <x:f>MIN(0.95,INDEX('Inputs'!$D$78:$H$78,1,AE7)*AE10)</x:f>
        <x:v>0.48</x:v>
      </x:c>
      <x:c r="AF15" s="41" t="n">
        <x:f>MIN(0.95,INDEX('Inputs'!$D$78:$H$78,1,AF7)*AF10)</x:f>
        <x:v>0.44000000000000006</x:v>
      </x:c>
      <x:c r="AG15" s="41" t="n">
        <x:f>MIN(0.95,INDEX('Inputs'!$D$78:$H$78,1,AG7)*AG10)</x:f>
        <x:v>0.44000000000000006</x:v>
      </x:c>
      <x:c r="AH15" s="41" t="n">
        <x:f>MIN(0.95,INDEX('Inputs'!$D$78:$H$78,1,AH7)*AH10)</x:f>
        <x:v>0.42000000000000004</x:v>
      </x:c>
      <x:c r="AI15" s="41" t="n">
        <x:f>MIN(0.95,INDEX('Inputs'!$D$78:$H$78,1,AI7)*AI10)</x:f>
        <x:v>0.38</x:v>
      </x:c>
      <x:c r="AJ15" s="41" t="n">
        <x:f>MIN(0.95,INDEX('Inputs'!$D$78:$H$78,1,AJ7)*AJ10)</x:f>
        <x:v>0.36000000000000004</x:v>
      </x:c>
      <x:c r="AK15" s="41" t="n">
        <x:f>MIN(0.95,INDEX('Inputs'!$D$78:$H$78,1,AK7)*AK10)</x:f>
        <x:v>0.34</x:v>
      </x:c>
      <x:c r="AL15" s="41" t="n">
        <x:f>MIN(0.95,INDEX('Inputs'!$D$78:$H$78,1,AL7)*AL10)</x:f>
        <x:v>0.32000000000000006</x:v>
      </x:c>
      <x:c r="AM15" s="41" t="n">
        <x:f>MIN(0.95,INDEX('Inputs'!$D$78:$H$78,1,AM7)*AM10)</x:f>
        <x:v>0.34</x:v>
      </x:c>
      <x:c r="AN15" s="41" t="n">
        <x:f>MIN(0.95,INDEX('Inputs'!$D$78:$H$78,1,AN7)*AN10)</x:f>
        <x:v>0.39899999999999997</x:v>
      </x:c>
      <x:c r="AO15" s="41" t="n">
        <x:f>MIN(0.95,INDEX('Inputs'!$D$78:$H$78,1,AO7)*AO10)</x:f>
        <x:v>0.462</x:v>
      </x:c>
      <x:c r="AP15" s="41" t="n">
        <x:f>MIN(0.95,INDEX('Inputs'!$D$78:$H$78,1,AP7)*AP10)</x:f>
        <x:v>0.48299999999999993</x:v>
      </x:c>
      <x:c r="AQ15" s="41" t="n">
        <x:f>MIN(0.95,INDEX('Inputs'!$D$78:$H$78,1,AQ7)*AQ10)</x:f>
        <x:v>0.504</x:v>
      </x:c>
      <x:c r="AR15" s="41" t="n">
        <x:f>MIN(0.95,INDEX('Inputs'!$D$78:$H$78,1,AR7)*AR10)</x:f>
        <x:v>0.462</x:v>
      </x:c>
      <x:c r="AS15" s="41" t="n">
        <x:f>MIN(0.95,INDEX('Inputs'!$D$78:$H$78,1,AS7)*AS10)</x:f>
        <x:v>0.462</x:v>
      </x:c>
      <x:c r="AT15" s="41" t="n">
        <x:f>MIN(0.95,INDEX('Inputs'!$D$78:$H$78,1,AT7)*AT10)</x:f>
        <x:v>0.441</x:v>
      </x:c>
      <x:c r="AU15" s="41" t="n">
        <x:f>MIN(0.95,INDEX('Inputs'!$D$78:$H$78,1,AU7)*AU10)</x:f>
        <x:v>0.39899999999999997</x:v>
      </x:c>
      <x:c r="AV15" s="41" t="n">
        <x:f>MIN(0.95,INDEX('Inputs'!$D$78:$H$78,1,AV7)*AV10)</x:f>
        <x:v>0.378</x:v>
      </x:c>
      <x:c r="AW15" s="41" t="n">
        <x:f>MIN(0.95,INDEX('Inputs'!$D$78:$H$78,1,AW7)*AW10)</x:f>
        <x:v>0.357</x:v>
      </x:c>
      <x:c r="AX15" s="41" t="n">
        <x:f>MIN(0.95,INDEX('Inputs'!$D$78:$H$78,1,AX7)*AX10)</x:f>
        <x:v>0.336</x:v>
      </x:c>
      <x:c r="AY15" s="41" t="n">
        <x:f>MIN(0.95,INDEX('Inputs'!$D$78:$H$78,1,AY7)*AY10)</x:f>
        <x:v>0.357</x:v>
      </x:c>
      <x:c r="AZ15" s="41" t="n">
        <x:f>MIN(0.95,INDEX('Inputs'!$D$78:$H$78,1,AZ7)*AZ10)</x:f>
        <x:v>0.418</x:v>
      </x:c>
      <x:c r="BA15" s="41" t="n">
        <x:f>MIN(0.95,INDEX('Inputs'!$D$78:$H$78,1,BA7)*BA10)</x:f>
        <x:v>0.48400000000000004</x:v>
      </x:c>
      <x:c r="BB15" s="41" t="n">
        <x:f>MIN(0.95,INDEX('Inputs'!$D$78:$H$78,1,BB7)*BB10)</x:f>
        <x:v>0.506</x:v>
      </x:c>
      <x:c r="BC15" s="41" t="n">
        <x:f>MIN(0.95,INDEX('Inputs'!$D$78:$H$78,1,BC7)*BC10)</x:f>
        <x:v>0.528</x:v>
      </x:c>
      <x:c r="BD15" s="41" t="n">
        <x:f>MIN(0.95,INDEX('Inputs'!$D$78:$H$78,1,BD7)*BD10)</x:f>
        <x:v>0.48400000000000004</x:v>
      </x:c>
      <x:c r="BE15" s="41" t="n">
        <x:f>MIN(0.95,INDEX('Inputs'!$D$78:$H$78,1,BE7)*BE10)</x:f>
        <x:v>0.48400000000000004</x:v>
      </x:c>
      <x:c r="BF15" s="41" t="n">
        <x:f>MIN(0.95,INDEX('Inputs'!$D$78:$H$78,1,BF7)*BF10)</x:f>
        <x:v>0.462</x:v>
      </x:c>
      <x:c r="BG15" s="41" t="n">
        <x:f>MIN(0.95,INDEX('Inputs'!$D$78:$H$78,1,BG7)*BG10)</x:f>
        <x:v>0.418</x:v>
      </x:c>
      <x:c r="BH15" s="41" t="n">
        <x:f>MIN(0.95,INDEX('Inputs'!$D$78:$H$78,1,BH7)*BH10)</x:f>
        <x:v>0.396</x:v>
      </x:c>
      <x:c r="BI15" s="41" t="n">
        <x:f>MIN(0.95,INDEX('Inputs'!$D$78:$H$78,1,BI7)*BI10)</x:f>
        <x:v>0.374</x:v>
      </x:c>
      <x:c r="BJ15" s="41" t="n">
        <x:f>MIN(0.95,INDEX('Inputs'!$D$78:$H$78,1,BJ7)*BJ10)</x:f>
        <x:v>0.35200000000000004</x:v>
      </x:c>
      <x:c r="BK15" s="41" t="n">
        <x:f>MIN(0.95,INDEX('Inputs'!$D$78:$H$78,1,BK7)*BK10)</x:f>
        <x:v>0.374</x:v>
      </x:c>
    </x:row>
    <x:row r="16" ht="21" customHeight="1">
      <x:c r="A16" s="2"/>
      <x:c r="B16" s="2"/>
      <x:c r="C16" s="2" t="str">
        <x:v>Peak paid bookings</x:v>
      </x:c>
      <x:c r="D16" s="8" t="n">
        <x:f>D12*D14</x:f>
        <x:v>286.6285714285714</x:v>
      </x:c>
      <x:c r="E16" s="8" t="n">
        <x:f>E12*E14</x:f>
        <x:v>342.9485714285715</x:v>
      </x:c>
      <x:c r="F16" s="8" t="n">
        <x:f>F12*F14</x:f>
        <x:v>346.97142857142853</x:v>
      </x:c>
      <x:c r="G16" s="8" t="n">
        <x:f>G12*G14</x:f>
        <x:v>374.1257142857143</x:v>
      </x:c>
      <x:c r="H16" s="8" t="n">
        <x:f>H12*H14</x:f>
        <x:v>342.9485714285715</x:v>
      </x:c>
      <x:c r="I16" s="8" t="n">
        <x:f>I12*I14</x:f>
        <x:v>320.82285714285723</x:v>
      </x:c>
      <x:c r="J16" s="8" t="n">
        <x:f>J12*J14</x:f>
        <x:v>327.36000000000007</x:v>
      </x:c>
      <x:c r="K16" s="8" t="n">
        <x:f>K12*K14</x:f>
        <x:v>286.6285714285714</x:v>
      </x:c>
      <x:c r="L16" s="8" t="n">
        <x:f>L12*L14</x:f>
        <x:v>280.5942857142858</x:v>
      </x:c>
      <x:c r="M16" s="8" t="n">
        <x:f>M12*M14</x:f>
        <x:v>256.45714285714286</x:v>
      </x:c>
      <x:c r="N16" s="8" t="n">
        <x:f>N12*N14</x:f>
        <x:v>249.4171428571429</x:v>
      </x:c>
      <x:c r="O16" s="8" t="n">
        <x:f>O12*O14</x:f>
        <x:v>265.0057142857143</x:v>
      </x:c>
      <x:c r="P16" s="8" t="n">
        <x:f>P12*P14</x:f>
        <x:v>375.2228571428571</x:v>
      </x:c>
      <x:c r="Q16" s="8" t="n">
        <x:f>Q12*Q14</x:f>
        <x:v>448.9508571428572</x:v>
      </x:c>
      <x:c r="R16" s="8" t="n">
        <x:f>R12*R14</x:f>
        <x:v>454.21714285714285</x:v>
      </x:c>
      <x:c r="S16" s="8" t="n">
        <x:f>S12*S14</x:f>
        <x:v>489.76457142857146</x:v>
      </x:c>
      <x:c r="T16" s="8" t="n">
        <x:f>T12*T14</x:f>
        <x:v>448.9508571428572</x:v>
      </x:c>
      <x:c r="U16" s="35" t="n">
        <x:f>U12*U14</x:f>
        <x:v>405.504</x:v>
      </x:c>
      <x:c r="V16" s="35" t="n">
        <x:f>V12*V14</x:f>
        <x:v>428.54400000000004</x:v>
      </x:c>
      <x:c r="W16" s="35" t="n">
        <x:f>W12*W14</x:f>
        <x:v>375.2228571428571</x:v>
      </x:c>
      <x:c r="X16" s="35" t="n">
        <x:f>X12*X14</x:f>
        <x:v>367.3234285714286</x:v>
      </x:c>
      <x:c r="Y16" s="35" t="n">
        <x:f>Y12*Y14</x:f>
        <x:v>335.7257142857143</x:v>
      </x:c>
      <x:c r="Z16" s="35" t="n">
        <x:f>Z12*Z14</x:f>
        <x:v>326.50971428571427</x:v>
      </x:c>
      <x:c r="AA16" s="35" t="n">
        <x:f>AA12*AA14</x:f>
        <x:v>346.91657142857144</x:v>
      </x:c>
      <x:c r="AB16" s="35" t="n">
        <x:f>AB12*AB14</x:f>
        <x:v>427.3371428571428</x:v>
      </x:c>
      <x:c r="AC16" s="35" t="n">
        <x:f>AC12*AC14</x:f>
        <x:v>511.3051428571429</x:v>
      </x:c>
      <x:c r="AD16" s="35" t="n">
        <x:f>AD12*AD14</x:f>
        <x:v>517.3028571428571</x:v>
      </x:c>
      <x:c r="AE16" s="35" t="n">
        <x:f>AE12*AE14</x:f>
        <x:v>538.5142857142857</x:v>
      </x:c>
      <x:c r="AF16" s="35" t="n">
        <x:f>AF12*AF14</x:f>
        <x:v>511.3051428571429</x:v>
      </x:c>
      <x:c r="AG16" s="35" t="n">
        <x:f>AG12*AG14</x:f>
        <x:v>461.824</x:v>
      </x:c>
      <x:c r="AH16" s="35" t="n">
        <x:f>AH12*AH14</x:f>
        <x:v>488.064</x:v>
      </x:c>
      <x:c r="AI16" s="35" t="n">
        <x:f>AI12*AI14</x:f>
        <x:v>427.3371428571428</x:v>
      </x:c>
      <x:c r="AJ16" s="35" t="n">
        <x:f>AJ12*AJ14</x:f>
        <x:v>418.3405714285714</x:v>
      </x:c>
      <x:c r="AK16" s="35" t="n">
        <x:f>AK12*AK14</x:f>
        <x:v>382.35428571428565</x:v>
      </x:c>
      <x:c r="AL16" s="35" t="n">
        <x:f>AL12*AL14</x:f>
        <x:v>371.8582857142857</x:v>
      </x:c>
      <x:c r="AM16" s="35" t="n">
        <x:f>AM12*AM14</x:f>
        <x:v>395.0994285714286</x:v>
      </x:c>
      <x:c r="AN16" s="35" t="n">
        <x:f>AN12*AN14</x:f>
        <x:v>437.75999999999993</x:v>
      </x:c>
      <x:c r="AO16" s="35" t="n">
        <x:f>AO12*AO14</x:f>
        <x:v>523.7760000000001</x:v>
      </x:c>
      <x:c r="AP16" s="35" t="n">
        <x:f>AP12*AP14</x:f>
        <x:v>521.1428571428571</x:v>
      </x:c>
      <x:c r="AQ16" s="35" t="n">
        <x:f>AQ12*AQ14</x:f>
        <x:v>538.5142857142857</x:v>
      </x:c>
      <x:c r="AR16" s="35" t="n">
        <x:f>AR12*AR14</x:f>
        <x:v>523.7760000000001</x:v>
      </x:c>
      <x:c r="AS16" s="35" t="n">
        <x:f>AS12*AS14</x:f>
        <x:v>473.088</x:v>
      </x:c>
      <x:c r="AT16" s="35" t="n">
        <x:f>AT12*AT14</x:f>
        <x:v>499.968</x:v>
      </x:c>
      <x:c r="AU16" s="35" t="n">
        <x:f>AU12*AU14</x:f>
        <x:v>437.75999999999993</x:v>
      </x:c>
      <x:c r="AV16" s="35" t="n">
        <x:f>AV12*AV14</x:f>
        <x:v>428.54400000000004</x:v>
      </x:c>
      <x:c r="AW16" s="35" t="n">
        <x:f>AW12*AW14</x:f>
        <x:v>391.67999999999995</x:v>
      </x:c>
      <x:c r="AX16" s="35" t="n">
        <x:f>AX12*AX14</x:f>
        <x:v>380.92800000000005</x:v>
      </x:c>
      <x:c r="AY16" s="35" t="n">
        <x:f>AY12*AY14</x:f>
        <x:v>404.736</x:v>
      </x:c>
      <x:c r="AZ16" s="35" t="n">
        <x:f>AZ12*AZ14</x:f>
        <x:v>448.1828571428571</x:v>
      </x:c>
      <x:c r="BA16" s="35" t="n">
        <x:f>BA12*BA14</x:f>
        <x:v>536.2468571428573</x:v>
      </x:c>
      <x:c r="BB16" s="35" t="n">
        <x:f>BB12*BB14</x:f>
        <x:v>521.1428571428571</x:v>
      </x:c>
      <x:c r="BC16" s="35" t="n">
        <x:f>BC12*BC14</x:f>
        <x:v>538.5142857142857</x:v>
      </x:c>
      <x:c r="BD16" s="35" t="n">
        <x:f>BD12*BD14</x:f>
        <x:v>536.2468571428573</x:v>
      </x:c>
      <x:c r="BE16" s="35" t="n">
        <x:f>BE12*BE14</x:f>
        <x:v>501.6502857142858</x:v>
      </x:c>
      <x:c r="BF16" s="35" t="n">
        <x:f>BF12*BF14</x:f>
        <x:v>511.87200000000007</x:v>
      </x:c>
      <x:c r="BG16" s="35" t="n">
        <x:f>BG12*BG14</x:f>
        <x:v>448.1828571428571</x:v>
      </x:c>
      <x:c r="BH16" s="35" t="n">
        <x:f>BH12*BH14</x:f>
        <x:v>438.7474285714286</x:v>
      </x:c>
      <x:c r="BI16" s="35" t="n">
        <x:f>BI12*BI14</x:f>
        <x:v>401.00571428571425</x:v>
      </x:c>
      <x:c r="BJ16" s="35" t="n">
        <x:f>BJ12*BJ14</x:f>
        <x:v>389.9977142857143</x:v>
      </x:c>
      <x:c r="BK16" s="35" t="n">
        <x:f>BK12*BK14</x:f>
        <x:v>414.37257142857146</x:v>
      </x:c>
    </x:row>
    <x:row r="17" ht="21" customHeight="1">
      <x:c r="A17" s="2"/>
      <x:c r="B17" s="2"/>
      <x:c r="C17" s="2" t="str">
        <x:v>Off peak paid bookings</x:v>
      </x:c>
      <x:c r="D17" s="8" t="n">
        <x:f>D13*D15</x:f>
        <x:v>111.06857142857143</x:v>
      </x:c>
      <x:c r="E17" s="8" t="n">
        <x:f>E13*E15</x:f>
        <x:v>132.89257142857144</x:v>
      </x:c>
      <x:c r="F17" s="8" t="n">
        <x:f>F13*F15</x:f>
        <x:v>134.45142857142858</x:v>
      </x:c>
      <x:c r="G17" s="8" t="n">
        <x:f>G13*G15</x:f>
        <x:v>144.9737142857143</x:v>
      </x:c>
      <x:c r="H17" s="8" t="n">
        <x:f>H13*H15</x:f>
        <x:v>132.89257142857144</x:v>
      </x:c>
      <x:c r="I17" s="8" t="n">
        <x:f>I13*I15</x:f>
        <x:v>124.31885714285714</x:v>
      </x:c>
      <x:c r="J17" s="8" t="n">
        <x:f>J13*J15</x:f>
        <x:v>126.852</x:v>
      </x:c>
      <x:c r="K17" s="8" t="n">
        <x:f>K13*K15</x:f>
        <x:v>111.06857142857143</x:v>
      </x:c>
      <x:c r="L17" s="8" t="n">
        <x:f>L13*L15</x:f>
        <x:v>108.73028571428571</x:v>
      </x:c>
      <x:c r="M17" s="8" t="n">
        <x:f>M13*M15</x:f>
        <x:v>99.37714285714286</x:v>
      </x:c>
      <x:c r="N17" s="8" t="n">
        <x:f>N13*N15</x:f>
        <x:v>96.64914285714286</x:v>
      </x:c>
      <x:c r="O17" s="8" t="n">
        <x:f>O13*O15</x:f>
        <x:v>102.68971428571427</x:v>
      </x:c>
      <x:c r="P17" s="8" t="n">
        <x:f>P13*P15</x:f>
        <x:v>161.55428571428573</x:v>
      </x:c>
      <x:c r="Q17" s="8" t="n">
        <x:f>Q13*Q15</x:f>
        <x:v>193.29828571428573</x:v>
      </x:c>
      <x:c r="R17" s="8" t="n">
        <x:f>R13*R15</x:f>
        <x:v>195.56571428571428</x:v>
      </x:c>
      <x:c r="S17" s="8" t="n">
        <x:f>S13*S15</x:f>
        <x:v>210.87085714285715</x:v>
      </x:c>
      <x:c r="T17" s="8" t="n">
        <x:f>T13*T15</x:f>
        <x:v>193.29828571428573</x:v>
      </x:c>
      <x:c r="U17" s="35" t="n">
        <x:f>U13*U15</x:f>
        <x:v>174.592</x:v>
      </x:c>
      <x:c r="V17" s="35" t="n">
        <x:f>V13*V15</x:f>
        <x:v>184.512</x:v>
      </x:c>
      <x:c r="W17" s="35" t="n">
        <x:f>W13*W15</x:f>
        <x:v>161.55428571428573</x:v>
      </x:c>
      <x:c r="X17" s="35" t="n">
        <x:f>X13*X15</x:f>
        <x:v>158.15314285714285</x:v>
      </x:c>
      <x:c r="Y17" s="35" t="n">
        <x:f>Y13*Y15</x:f>
        <x:v>144.54857142857145</x:v>
      </x:c>
      <x:c r="Z17" s="35" t="n">
        <x:f>Z13*Z15</x:f>
        <x:v>140.58057142857143</x:v>
      </x:c>
      <x:c r="AA17" s="35" t="n">
        <x:f>AA13*AA15</x:f>
        <x:v>149.36685714285716</x:v>
      </x:c>
      <x:c r="AB17" s="35" t="n">
        <x:f>AB13*AB15</x:f>
        <x:v>201.94285714285715</x:v>
      </x:c>
      <x:c r="AC17" s="35" t="n">
        <x:f>AC13*AC15</x:f>
        <x:v>241.62285714285716</x:v>
      </x:c>
      <x:c r="AD17" s="35" t="n">
        <x:f>AD13*AD15</x:f>
        <x:v>244.45714285714286</x:v>
      </x:c>
      <x:c r="AE17" s="35" t="n">
        <x:f>AE13*AE15</x:f>
        <x:v>263.5885714285714</x:v>
      </x:c>
      <x:c r="AF17" s="35" t="n">
        <x:f>AF13*AF15</x:f>
        <x:v>241.62285714285716</x:v>
      </x:c>
      <x:c r="AG17" s="35" t="n">
        <x:f>AG13*AG15</x:f>
        <x:v>218.24000000000004</x:v>
      </x:c>
      <x:c r="AH17" s="35" t="n">
        <x:f>AH13*AH15</x:f>
        <x:v>230.64000000000001</x:v>
      </x:c>
      <x:c r="AI17" s="35" t="n">
        <x:f>AI13*AI15</x:f>
        <x:v>201.94285714285715</x:v>
      </x:c>
      <x:c r="AJ17" s="35" t="n">
        <x:f>AJ13*AJ15</x:f>
        <x:v>197.6914285714286</x:v>
      </x:c>
      <x:c r="AK17" s="35" t="n">
        <x:f>AK13*AK15</x:f>
        <x:v>180.6857142857143</x:v>
      </x:c>
      <x:c r="AL17" s="35" t="n">
        <x:f>AL13*AL15</x:f>
        <x:v>175.7257142857143</x:v>
      </x:c>
      <x:c r="AM17" s="35" t="n">
        <x:f>AM13*AM15</x:f>
        <x:v>186.70857142857142</x:v>
      </x:c>
      <x:c r="AN17" s="35" t="n">
        <x:f>AN13*AN15</x:f>
        <x:v>212.04</x:v>
      </x:c>
      <x:c r="AO17" s="35" t="n">
        <x:f>AO13*AO15</x:f>
        <x:v>253.704</x:v>
      </x:c>
      <x:c r="AP17" s="35" t="n">
        <x:f>AP13*AP15</x:f>
        <x:v>256.67999999999995</x:v>
      </x:c>
      <x:c r="AQ17" s="35" t="n">
        <x:f>AQ13*AQ15</x:f>
        <x:v>276.768</x:v>
      </x:c>
      <x:c r="AR17" s="35" t="n">
        <x:f>AR13*AR15</x:f>
        <x:v>253.704</x:v>
      </x:c>
      <x:c r="AS17" s="35" t="n">
        <x:f>AS13*AS15</x:f>
        <x:v>229.15200000000002</x:v>
      </x:c>
      <x:c r="AT17" s="35" t="n">
        <x:f>AT13*AT15</x:f>
        <x:v>242.172</x:v>
      </x:c>
      <x:c r="AU17" s="35" t="n">
        <x:f>AU13*AU15</x:f>
        <x:v>212.04</x:v>
      </x:c>
      <x:c r="AV17" s="35" t="n">
        <x:f>AV13*AV15</x:f>
        <x:v>207.576</x:v>
      </x:c>
      <x:c r="AW17" s="35" t="n">
        <x:f>AW13*AW15</x:f>
        <x:v>189.72</x:v>
      </x:c>
      <x:c r="AX17" s="35" t="n">
        <x:f>AX13*AX15</x:f>
        <x:v>184.512</x:v>
      </x:c>
      <x:c r="AY17" s="35" t="n">
        <x:f>AY13*AY15</x:f>
        <x:v>196.04399999999998</x:v>
      </x:c>
      <x:c r="AZ17" s="35" t="n">
        <x:f>AZ13*AZ15</x:f>
        <x:v>222.13714285714286</x:v>
      </x:c>
      <x:c r="BA17" s="35" t="n">
        <x:f>BA13*BA15</x:f>
        <x:v>265.7851428571429</x:v>
      </x:c>
      <x:c r="BB17" s="35" t="n">
        <x:f>BB13*BB15</x:f>
        <x:v>268.90285714285716</x:v>
      </x:c>
      <x:c r="BC17" s="35" t="n">
        <x:f>BC13*BC15</x:f>
        <x:v>289.9474285714286</x:v>
      </x:c>
      <x:c r="BD17" s="35" t="n">
        <x:f>BD13*BD15</x:f>
        <x:v>265.7851428571429</x:v>
      </x:c>
      <x:c r="BE17" s="35" t="n">
        <x:f>BE13*BE15</x:f>
        <x:v>248.63771428571428</x:v>
      </x:c>
      <x:c r="BF17" s="35" t="n">
        <x:f>BF13*BF15</x:f>
        <x:v>253.704</x:v>
      </x:c>
      <x:c r="BG17" s="35" t="n">
        <x:f>BG13*BG15</x:f>
        <x:v>222.13714285714286</x:v>
      </x:c>
      <x:c r="BH17" s="35" t="n">
        <x:f>BH13*BH15</x:f>
        <x:v>217.46057142857143</x:v>
      </x:c>
      <x:c r="BI17" s="35" t="n">
        <x:f>BI13*BI15</x:f>
        <x:v>198.75428571428571</x:v>
      </x:c>
      <x:c r="BJ17" s="35" t="n">
        <x:f>BJ13*BJ15</x:f>
        <x:v>193.29828571428573</x:v>
      </x:c>
      <x:c r="BK17" s="35" t="n">
        <x:f>BK13*BK15</x:f>
        <x:v>205.37942857142855</x:v>
      </x:c>
    </x:row>
    <x:row r="18" ht="21" customHeight="1">
      <x:c r="A18" s="2"/>
      <x:c r="B18" s="2"/>
      <x:c r="C18" s="59" t="str">
        <x:v>Total paid bookings</x:v>
      </x:c>
      <x:c r="D18" s="60" t="n">
        <x:f>SUM(D16:D17)</x:f>
        <x:v>397.6971428571428</x:v>
      </x:c>
      <x:c r="E18" s="60" t="n">
        <x:f>SUM(E16:E17)</x:f>
        <x:v>475.8411428571429</x:v>
      </x:c>
      <x:c r="F18" s="60" t="n">
        <x:f>SUM(F16:F17)</x:f>
        <x:v>481.4228571428571</x:v>
      </x:c>
      <x:c r="G18" s="60" t="n">
        <x:f>SUM(G16:G17)</x:f>
        <x:v>519.0994285714286</x:v>
      </x:c>
      <x:c r="H18" s="60" t="n">
        <x:f>SUM(H16:H17)</x:f>
        <x:v>475.8411428571429</x:v>
      </x:c>
      <x:c r="I18" s="60" t="n">
        <x:f>SUM(I16:I17)</x:f>
        <x:v>445.1417142857144</x:v>
      </x:c>
      <x:c r="J18" s="60" t="n">
        <x:f>SUM(J16:J17)</x:f>
        <x:v>454.2120000000001</x:v>
      </x:c>
      <x:c r="K18" s="60" t="n">
        <x:f>SUM(K16:K17)</x:f>
        <x:v>397.6971428571428</x:v>
      </x:c>
      <x:c r="L18" s="60" t="n">
        <x:f>SUM(L16:L17)</x:f>
        <x:v>389.3245714285715</x:v>
      </x:c>
      <x:c r="M18" s="60" t="n">
        <x:f>SUM(M16:M17)</x:f>
        <x:v>355.8342857142857</x:v>
      </x:c>
      <x:c r="N18" s="60" t="n">
        <x:f>SUM(N16:N17)</x:f>
        <x:v>346.06628571428575</x:v>
      </x:c>
      <x:c r="O18" s="60" t="n">
        <x:f>SUM(O16:O17)</x:f>
        <x:v>367.6954285714286</x:v>
      </x:c>
      <x:c r="P18" s="60" t="n">
        <x:f>SUM(P16:P17)</x:f>
        <x:v>536.7771428571428</x:v>
      </x:c>
      <x:c r="Q18" s="60" t="n">
        <x:f>SUM(Q16:Q17)</x:f>
        <x:v>642.2491428571429</x:v>
      </x:c>
      <x:c r="R18" s="60" t="n">
        <x:f>SUM(R16:R17)</x:f>
        <x:v>649.7828571428571</x:v>
      </x:c>
      <x:c r="S18" s="60" t="n">
        <x:f>SUM(S16:S17)</x:f>
        <x:v>700.6354285714286</x:v>
      </x:c>
      <x:c r="T18" s="60" t="n">
        <x:f>SUM(T16:T17)</x:f>
        <x:v>642.2491428571429</x:v>
      </x:c>
      <x:c r="U18" s="64" t="n">
        <x:f>SUM(U16:U17)</x:f>
        <x:v>580.096</x:v>
      </x:c>
      <x:c r="V18" s="64" t="n">
        <x:f>SUM(V16:V17)</x:f>
        <x:v>613.056</x:v>
      </x:c>
      <x:c r="W18" s="64" t="n">
        <x:f>SUM(W16:W17)</x:f>
        <x:v>536.7771428571428</x:v>
      </x:c>
      <x:c r="X18" s="64" t="n">
        <x:f>SUM(X16:X17)</x:f>
        <x:v>525.4765714285714</x:v>
      </x:c>
      <x:c r="Y18" s="64" t="n">
        <x:f>SUM(Y16:Y17)</x:f>
        <x:v>480.2742857142857</x:v>
      </x:c>
      <x:c r="Z18" s="64" t="n">
        <x:f>SUM(Z16:Z17)</x:f>
        <x:v>467.0902857142857</x:v>
      </x:c>
      <x:c r="AA18" s="64" t="n">
        <x:f>SUM(AA16:AA17)</x:f>
        <x:v>496.2834285714286</x:v>
      </x:c>
      <x:c r="AB18" s="64" t="n">
        <x:f>SUM(AB16:AB17)</x:f>
        <x:v>629.28</x:v>
      </x:c>
      <x:c r="AC18" s="64" t="n">
        <x:f>SUM(AC16:AC17)</x:f>
        <x:v>752.9280000000001</x:v>
      </x:c>
      <x:c r="AD18" s="64" t="n">
        <x:f>SUM(AD16:AD17)</x:f>
        <x:v>761.76</x:v>
      </x:c>
      <x:c r="AE18" s="64" t="n">
        <x:f>SUM(AE16:AE17)</x:f>
        <x:v>802.1028571428571</x:v>
      </x:c>
      <x:c r="AF18" s="64" t="n">
        <x:f>SUM(AF16:AF17)</x:f>
        <x:v>752.9280000000001</x:v>
      </x:c>
      <x:c r="AG18" s="64" t="n">
        <x:f>SUM(AG16:AG17)</x:f>
        <x:v>680.0640000000001</x:v>
      </x:c>
      <x:c r="AH18" s="64" t="n">
        <x:f>SUM(AH16:AH17)</x:f>
        <x:v>718.7040000000001</x:v>
      </x:c>
      <x:c r="AI18" s="64" t="n">
        <x:f>SUM(AI16:AI17)</x:f>
        <x:v>629.28</x:v>
      </x:c>
      <x:c r="AJ18" s="64" t="n">
        <x:f>SUM(AJ16:AJ17)</x:f>
        <x:v>616.032</x:v>
      </x:c>
      <x:c r="AK18" s="64" t="n">
        <x:f>SUM(AK16:AK17)</x:f>
        <x:v>563.04</x:v>
      </x:c>
      <x:c r="AL18" s="64" t="n">
        <x:f>SUM(AL16:AL17)</x:f>
        <x:v>547.5840000000001</x:v>
      </x:c>
      <x:c r="AM18" s="64" t="n">
        <x:f>SUM(AM16:AM17)</x:f>
        <x:v>581.808</x:v>
      </x:c>
      <x:c r="AN18" s="64" t="n">
        <x:f>SUM(AN16:AN17)</x:f>
        <x:v>649.8</x:v>
      </x:c>
      <x:c r="AO18" s="64" t="n">
        <x:f>SUM(AO16:AO17)</x:f>
        <x:v>777.48</x:v>
      </x:c>
      <x:c r="AP18" s="64" t="n">
        <x:f>SUM(AP16:AP17)</x:f>
        <x:v>777.8228571428571</x:v>
      </x:c>
      <x:c r="AQ18" s="64" t="n">
        <x:f>SUM(AQ16:AQ17)</x:f>
        <x:v>815.2822857142858</x:v>
      </x:c>
      <x:c r="AR18" s="64" t="n">
        <x:f>SUM(AR16:AR17)</x:f>
        <x:v>777.48</x:v>
      </x:c>
      <x:c r="AS18" s="64" t="n">
        <x:f>SUM(AS16:AS17)</x:f>
        <x:v>702.24</x:v>
      </x:c>
      <x:c r="AT18" s="64" t="n">
        <x:f>SUM(AT16:AT17)</x:f>
        <x:v>742.14</x:v>
      </x:c>
      <x:c r="AU18" s="64" t="n">
        <x:f>SUM(AU16:AU17)</x:f>
        <x:v>649.8</x:v>
      </x:c>
      <x:c r="AV18" s="64" t="n">
        <x:f>SUM(AV16:AV17)</x:f>
        <x:v>636.12</x:v>
      </x:c>
      <x:c r="AW18" s="64" t="n">
        <x:f>SUM(AW16:AW17)</x:f>
        <x:v>581.4</x:v>
      </x:c>
      <x:c r="AX18" s="64" t="n">
        <x:f>SUM(AX16:AX17)</x:f>
        <x:v>565.44</x:v>
      </x:c>
      <x:c r="AY18" s="64" t="n">
        <x:f>SUM(AY16:AY17)</x:f>
        <x:v>600.78</x:v>
      </x:c>
      <x:c r="AZ18" s="64" t="n">
        <x:f>SUM(AZ16:AZ17)</x:f>
        <x:v>670.3199999999999</x:v>
      </x:c>
      <x:c r="BA18" s="64" t="n">
        <x:f>SUM(BA16:BA17)</x:f>
        <x:v>802.0320000000002</x:v>
      </x:c>
      <x:c r="BB18" s="64" t="n">
        <x:f>SUM(BB16:BB17)</x:f>
        <x:v>790.0457142857142</x:v>
      </x:c>
      <x:c r="BC18" s="64" t="n">
        <x:f>SUM(BC16:BC17)</x:f>
        <x:v>828.4617142857144</x:v>
      </x:c>
      <x:c r="BD18" s="64" t="n">
        <x:f>SUM(BD16:BD17)</x:f>
        <x:v>802.0320000000002</x:v>
      </x:c>
      <x:c r="BE18" s="64" t="n">
        <x:f>SUM(BE16:BE17)</x:f>
        <x:v>750.2880000000001</x:v>
      </x:c>
      <x:c r="BF18" s="64" t="n">
        <x:f>SUM(BF16:BF17)</x:f>
        <x:v>765.576</x:v>
      </x:c>
      <x:c r="BG18" s="64" t="n">
        <x:f>SUM(BG16:BG17)</x:f>
        <x:v>670.3199999999999</x:v>
      </x:c>
      <x:c r="BH18" s="64" t="n">
        <x:f>SUM(BH16:BH17)</x:f>
        <x:v>656.2080000000001</x:v>
      </x:c>
      <x:c r="BI18" s="64" t="n">
        <x:f>SUM(BI16:BI17)</x:f>
        <x:v>599.76</x:v>
      </x:c>
      <x:c r="BJ18" s="64" t="n">
        <x:f>SUM(BJ16:BJ17)</x:f>
        <x:v>583.296</x:v>
      </x:c>
      <x:c r="BK18" s="64" t="n">
        <x:f>SUM(BK16:BK17)</x:f>
        <x:v>619.752</x:v>
      </x:c>
    </x:row>
    <x:row r="19" ht="21" customHeight="1">
      <x:c r="A19" s="2"/>
      <x:c r="B19" s="2"/>
      <x:c r="C19" s="2" t="str">
        <x:v>Weighted paid utilization</x:v>
      </x:c>
      <x:c r="D19" s="42" t="n">
        <x:f>D18/SUM(D12:D13)</x:f>
        <x:v>0.3682380952380952</x:v>
      </x:c>
      <x:c r="E19" s="42" t="n">
        <x:f>E18/SUM(E12:E13)</x:f>
        <x:v>0.4263809523809524</x:v>
      </x:c>
      <x:c r="F19" s="42" t="n">
        <x:f>F18/SUM(F12:F13)</x:f>
        <x:v>0.4457619047619047</x:v>
      </x:c>
      <x:c r="G19" s="42" t="n">
        <x:f>G18/SUM(G12:G13)</x:f>
        <x:v>0.46514285714285714</x:v>
      </x:c>
      <x:c r="H19" s="42" t="n">
        <x:f>H18/SUM(H12:H13)</x:f>
        <x:v>0.4263809523809524</x:v>
      </x:c>
      <x:c r="I19" s="42" t="n">
        <x:f>I18/SUM(I12:I13)</x:f>
        <x:v>0.42638095238095247</x:v>
      </x:c>
      <x:c r="J19" s="42" t="n">
        <x:f>J18/SUM(J12:J13)</x:f>
        <x:v>0.4070000000000001</x:v>
      </x:c>
      <x:c r="K19" s="42" t="n">
        <x:f>K18/SUM(K12:K13)</x:f>
        <x:v>0.3682380952380952</x:v>
      </x:c>
      <x:c r="L19" s="42" t="n">
        <x:f>L18/SUM(L12:L13)</x:f>
        <x:v>0.3488571428571429</x:v>
      </x:c>
      <x:c r="M19" s="42" t="n">
        <x:f>M18/SUM(M12:M13)</x:f>
        <x:v>0.3294761904761905</x:v>
      </x:c>
      <x:c r="N19" s="42" t="n">
        <x:f>N18/SUM(N12:N13)</x:f>
        <x:v>0.31009523809523815</x:v>
      </x:c>
      <x:c r="O19" s="42" t="n">
        <x:f>O18/SUM(O12:O13)</x:f>
        <x:v>0.3294761904761905</x:v>
      </x:c>
      <x:c r="P19" s="42" t="n">
        <x:f>P18/SUM(P12:P13)</x:f>
        <x:v>0.497015873015873</x:v>
      </x:c>
      <x:c r="Q19" s="42" t="n">
        <x:f>Q18/SUM(Q12:Q13)</x:f>
        <x:v>0.5754920634920636</x:v>
      </x:c>
      <x:c r="R19" s="42" t="n">
        <x:f>R18/SUM(R12:R13)</x:f>
        <x:v>0.6016507936507937</x:v>
      </x:c>
      <x:c r="S19" s="42" t="n">
        <x:f>S18/SUM(S12:S13)</x:f>
        <x:v>0.6278095238095238</x:v>
      </x:c>
      <x:c r="T19" s="42" t="n">
        <x:f>T18/SUM(T12:T13)</x:f>
        <x:v>0.5754920634920636</x:v>
      </x:c>
      <x:c r="U19" s="43" t="n">
        <x:f>U18/SUM(U12:U13)</x:f>
        <x:v>0.5754920634920635</x:v>
      </x:c>
      <x:c r="V19" s="43" t="n">
        <x:f>V18/SUM(V12:V13)</x:f>
        <x:v>0.5493333333333333</x:v>
      </x:c>
      <x:c r="W19" s="43" t="n">
        <x:f>W18/SUM(W12:W13)</x:f>
        <x:v>0.497015873015873</x:v>
      </x:c>
      <x:c r="X19" s="43" t="n">
        <x:f>X18/SUM(X12:X13)</x:f>
        <x:v>0.47085714285714286</x:v>
      </x:c>
      <x:c r="Y19" s="43" t="n">
        <x:f>Y18/SUM(Y12:Y13)</x:f>
        <x:v>0.4446984126984127</x:v>
      </x:c>
      <x:c r="Z19" s="43" t="n">
        <x:f>Z18/SUM(Z12:Z13)</x:f>
        <x:v>0.41853968253968254</x:v>
      </x:c>
      <x:c r="AA19" s="43" t="n">
        <x:f>AA18/SUM(AA12:AA13)</x:f>
        <x:v>0.4446984126984127</x:v>
      </x:c>
      <x:c r="AB19" s="43" t="n">
        <x:f>AB18/SUM(AB12:AB13)</x:f>
        <x:v>0.5826666666666667</x:v>
      </x:c>
      <x:c r="AC19" s="43" t="n">
        <x:f>AC18/SUM(AC12:AC13)</x:f>
        <x:v>0.6746666666666667</x:v>
      </x:c>
      <x:c r="AD19" s="43" t="n">
        <x:f>AD18/SUM(AD12:AD13)</x:f>
        <x:v>0.7053333333333334</x:v>
      </x:c>
      <x:c r="AE19" s="43" t="n">
        <x:f>AE18/SUM(AE12:AE13)</x:f>
        <x:v>0.7187301587301588</x:v>
      </x:c>
      <x:c r="AF19" s="43" t="n">
        <x:f>AF18/SUM(AF12:AF13)</x:f>
        <x:v>0.6746666666666667</x:v>
      </x:c>
      <x:c r="AG19" s="43" t="n">
        <x:f>AG18/SUM(AG12:AG13)</x:f>
        <x:v>0.6746666666666667</x:v>
      </x:c>
      <x:c r="AH19" s="43" t="n">
        <x:f>AH18/SUM(AH12:AH13)</x:f>
        <x:v>0.644</x:v>
      </x:c>
      <x:c r="AI19" s="43" t="n">
        <x:f>AI18/SUM(AI12:AI13)</x:f>
        <x:v>0.5826666666666667</x:v>
      </x:c>
      <x:c r="AJ19" s="43" t="n">
        <x:f>AJ18/SUM(AJ12:AJ13)</x:f>
        <x:v>0.552</x:v>
      </x:c>
      <x:c r="AK19" s="43" t="n">
        <x:f>AK18/SUM(AK12:AK13)</x:f>
        <x:v>0.5213333333333333</x:v>
      </x:c>
      <x:c r="AL19" s="43" t="n">
        <x:f>AL18/SUM(AL12:AL13)</x:f>
        <x:v>0.4906666666666667</x:v>
      </x:c>
      <x:c r="AM19" s="43" t="n">
        <x:f>AM18/SUM(AM12:AM13)</x:f>
        <x:v>0.5213333333333333</x:v>
      </x:c>
      <x:c r="AN19" s="43" t="n">
        <x:f>AN18/SUM(AN12:AN13)</x:f>
        <x:v>0.6016666666666666</x:v>
      </x:c>
      <x:c r="AO19" s="43" t="n">
        <x:f>AO18/SUM(AO12:AO13)</x:f>
        <x:v>0.6966666666666667</x:v>
      </x:c>
      <x:c r="AP19" s="43" t="n">
        <x:f>AP18/SUM(AP12:AP13)</x:f>
        <x:v>0.7202063492063492</x:v>
      </x:c>
      <x:c r="AQ19" s="43" t="n">
        <x:f>AQ18/SUM(AQ12:AQ13)</x:f>
        <x:v>0.7305396825396826</x:v>
      </x:c>
      <x:c r="AR19" s="43" t="n">
        <x:f>AR18/SUM(AR12:AR13)</x:f>
        <x:v>0.6966666666666667</x:v>
      </x:c>
      <x:c r="AS19" s="43" t="n">
        <x:f>AS18/SUM(AS12:AS13)</x:f>
        <x:v>0.6966666666666667</x:v>
      </x:c>
      <x:c r="AT19" s="43" t="n">
        <x:f>AT18/SUM(AT12:AT13)</x:f>
        <x:v>0.665</x:v>
      </x:c>
      <x:c r="AU19" s="43" t="n">
        <x:f>AU18/SUM(AU12:AU13)</x:f>
        <x:v>0.6016666666666666</x:v>
      </x:c>
      <x:c r="AV19" s="43" t="n">
        <x:f>AV18/SUM(AV12:AV13)</x:f>
        <x:v>0.57</x:v>
      </x:c>
      <x:c r="AW19" s="43" t="n">
        <x:f>AW18/SUM(AW12:AW13)</x:f>
        <x:v>0.5383333333333333</x:v>
      </x:c>
      <x:c r="AX19" s="43" t="n">
        <x:f>AX18/SUM(AX12:AX13)</x:f>
        <x:v>0.5066666666666667</x:v>
      </x:c>
      <x:c r="AY19" s="43" t="n">
        <x:f>AY18/SUM(AY12:AY13)</x:f>
        <x:v>0.5383333333333333</x:v>
      </x:c>
      <x:c r="AZ19" s="43" t="n">
        <x:f>AZ18/SUM(AZ12:AZ13)</x:f>
        <x:v>0.6206666666666666</x:v>
      </x:c>
      <x:c r="BA19" s="43" t="n">
        <x:f>BA18/SUM(BA12:BA13)</x:f>
        <x:v>0.7186666666666668</x:v>
      </x:c>
      <x:c r="BB19" s="43" t="n">
        <x:f>BB18/SUM(BB12:BB13)</x:f>
        <x:v>0.7315238095238095</x:v>
      </x:c>
      <x:c r="BC19" s="43" t="n">
        <x:f>BC18/SUM(BC12:BC13)</x:f>
        <x:v>0.7423492063492064</x:v>
      </x:c>
      <x:c r="BD19" s="43" t="n">
        <x:f>BD18/SUM(BD12:BD13)</x:f>
        <x:v>0.7186666666666668</x:v>
      </x:c>
      <x:c r="BE19" s="43" t="n">
        <x:f>BE18/SUM(BE12:BE13)</x:f>
        <x:v>0.7186666666666668</x:v>
      </x:c>
      <x:c r="BF19" s="43" t="n">
        <x:f>BF18/SUM(BF12:BF13)</x:f>
        <x:v>0.686</x:v>
      </x:c>
      <x:c r="BG19" s="43" t="n">
        <x:f>BG18/SUM(BG12:BG13)</x:f>
        <x:v>0.6206666666666666</x:v>
      </x:c>
      <x:c r="BH19" s="43" t="n">
        <x:f>BH18/SUM(BH12:BH13)</x:f>
        <x:v>0.5880000000000001</x:v>
      </x:c>
      <x:c r="BI19" s="43" t="n">
        <x:f>BI18/SUM(BI12:BI13)</x:f>
        <x:v>0.5553333333333333</x:v>
      </x:c>
      <x:c r="BJ19" s="43" t="n">
        <x:f>BJ18/SUM(BJ12:BJ13)</x:f>
        <x:v>0.5226666666666667</x:v>
      </x:c>
      <x:c r="BK19" s="43" t="n">
        <x:f>BK18/SUM(BK12:BK13)</x:f>
        <x:v>0.5553333333333333</x:v>
      </x:c>
    </x:row>
    <x:row r="20" ht="21" customHeight="1">
      <x:c r="A20" s="2"/>
      <x:c r="B20" s="2"/>
      <x:c r="C20" s="2" t="str">
        <x:v>Paid player visits</x:v>
      </x:c>
      <x:c r="D20" s="22" t="n">
        <x:f>D18*'Inputs'!$D$12</x:f>
        <x:v>1590.7885714285712</x:v>
      </x:c>
      <x:c r="E20" s="22" t="n">
        <x:f>E18*'Inputs'!$D$12</x:f>
        <x:v>1903.3645714285717</x:v>
      </x:c>
      <x:c r="F20" s="22" t="n">
        <x:f>F18*'Inputs'!$D$12</x:f>
        <x:v>1925.6914285714283</x:v>
      </x:c>
      <x:c r="G20" s="22" t="n">
        <x:f>G18*'Inputs'!$D$12</x:f>
        <x:v>2076.3977142857143</x:v>
      </x:c>
      <x:c r="H20" s="22" t="n">
        <x:f>H18*'Inputs'!$D$12</x:f>
        <x:v>1903.3645714285717</x:v>
      </x:c>
      <x:c r="I20" s="22" t="n">
        <x:f>I18*'Inputs'!$D$12</x:f>
        <x:v>1780.5668571428575</x:v>
      </x:c>
      <x:c r="J20" s="22" t="n">
        <x:f>J18*'Inputs'!$D$12</x:f>
        <x:v>1816.8480000000004</x:v>
      </x:c>
      <x:c r="K20" s="22" t="n">
        <x:f>K18*'Inputs'!$D$12</x:f>
        <x:v>1590.7885714285712</x:v>
      </x:c>
      <x:c r="L20" s="22" t="n">
        <x:f>L18*'Inputs'!$D$12</x:f>
        <x:v>1557.298285714286</x:v>
      </x:c>
      <x:c r="M20" s="22" t="n">
        <x:f>M18*'Inputs'!$D$12</x:f>
        <x:v>1423.337142857143</x:v>
      </x:c>
      <x:c r="N20" s="22" t="n">
        <x:f>N18*'Inputs'!$D$12</x:f>
        <x:v>1384.265142857143</x:v>
      </x:c>
      <x:c r="O20" s="22" t="n">
        <x:f>O18*'Inputs'!$D$12</x:f>
        <x:v>1470.7817142857143</x:v>
      </x:c>
      <x:c r="P20" s="22" t="n">
        <x:f>P18*'Inputs'!$D$12</x:f>
        <x:v>2147.1085714285714</x:v>
      </x:c>
      <x:c r="Q20" s="22" t="n">
        <x:f>Q18*'Inputs'!$D$12</x:f>
        <x:v>2568.9965714285718</x:v>
      </x:c>
      <x:c r="R20" s="22" t="n">
        <x:f>R18*'Inputs'!$D$12</x:f>
        <x:v>2599.1314285714284</x:v>
      </x:c>
      <x:c r="S20" s="22" t="n">
        <x:f>S18*'Inputs'!$D$12</x:f>
        <x:v>2802.5417142857145</x:v>
      </x:c>
      <x:c r="T20" s="22" t="n">
        <x:f>T18*'Inputs'!$D$12</x:f>
        <x:v>2568.9965714285718</x:v>
      </x:c>
      <x:c r="U20" s="36" t="n">
        <x:f>U18*'Inputs'!$D$12</x:f>
        <x:v>2320.384</x:v>
      </x:c>
      <x:c r="V20" s="36" t="n">
        <x:f>V18*'Inputs'!$D$12</x:f>
        <x:v>2452.224</x:v>
      </x:c>
      <x:c r="W20" s="36" t="n">
        <x:f>W18*'Inputs'!$D$12</x:f>
        <x:v>2147.1085714285714</x:v>
      </x:c>
      <x:c r="X20" s="36" t="n">
        <x:f>X18*'Inputs'!$D$12</x:f>
        <x:v>2101.906285714286</x:v>
      </x:c>
      <x:c r="Y20" s="36" t="n">
        <x:f>Y18*'Inputs'!$D$12</x:f>
        <x:v>1921.097142857143</x:v>
      </x:c>
      <x:c r="Z20" s="36" t="n">
        <x:f>Z18*'Inputs'!$D$12</x:f>
        <x:v>1868.3611428571428</x:v>
      </x:c>
      <x:c r="AA20" s="36" t="n">
        <x:f>AA18*'Inputs'!$D$12</x:f>
        <x:v>1985.1337142857144</x:v>
      </x:c>
      <x:c r="AB20" s="36" t="n">
        <x:f>AB18*'Inputs'!$D$12</x:f>
        <x:v>2517.12</x:v>
      </x:c>
      <x:c r="AC20" s="36" t="n">
        <x:f>AC18*'Inputs'!$D$12</x:f>
        <x:v>3011.7120000000004</x:v>
      </x:c>
      <x:c r="AD20" s="36" t="n">
        <x:f>AD18*'Inputs'!$D$12</x:f>
        <x:v>3047.04</x:v>
      </x:c>
      <x:c r="AE20" s="36" t="n">
        <x:f>AE18*'Inputs'!$D$12</x:f>
        <x:v>3208.4114285714286</x:v>
      </x:c>
      <x:c r="AF20" s="36" t="n">
        <x:f>AF18*'Inputs'!$D$12</x:f>
        <x:v>3011.7120000000004</x:v>
      </x:c>
      <x:c r="AG20" s="36" t="n">
        <x:f>AG18*'Inputs'!$D$12</x:f>
        <x:v>2720.2560000000003</x:v>
      </x:c>
      <x:c r="AH20" s="36" t="n">
        <x:f>AH18*'Inputs'!$D$12</x:f>
        <x:v>2874.8160000000003</x:v>
      </x:c>
      <x:c r="AI20" s="36" t="n">
        <x:f>AI18*'Inputs'!$D$12</x:f>
        <x:v>2517.12</x:v>
      </x:c>
      <x:c r="AJ20" s="36" t="n">
        <x:f>AJ18*'Inputs'!$D$12</x:f>
        <x:v>2464.128</x:v>
      </x:c>
      <x:c r="AK20" s="36" t="n">
        <x:f>AK18*'Inputs'!$D$12</x:f>
        <x:v>2252.16</x:v>
      </x:c>
      <x:c r="AL20" s="36" t="n">
        <x:f>AL18*'Inputs'!$D$12</x:f>
        <x:v>2190.3360000000002</x:v>
      </x:c>
      <x:c r="AM20" s="36" t="n">
        <x:f>AM18*'Inputs'!$D$12</x:f>
        <x:v>2327.232</x:v>
      </x:c>
      <x:c r="AN20" s="36" t="n">
        <x:f>AN18*'Inputs'!$D$12</x:f>
        <x:v>2599.2</x:v>
      </x:c>
      <x:c r="AO20" s="36" t="n">
        <x:f>AO18*'Inputs'!$D$12</x:f>
        <x:v>3109.92</x:v>
      </x:c>
      <x:c r="AP20" s="36" t="n">
        <x:f>AP18*'Inputs'!$D$12</x:f>
        <x:v>3111.2914285714282</x:v>
      </x:c>
      <x:c r="AQ20" s="36" t="n">
        <x:f>AQ18*'Inputs'!$D$12</x:f>
        <x:v>3261.129142857143</x:v>
      </x:c>
      <x:c r="AR20" s="36" t="n">
        <x:f>AR18*'Inputs'!$D$12</x:f>
        <x:v>3109.92</x:v>
      </x:c>
      <x:c r="AS20" s="36" t="n">
        <x:f>AS18*'Inputs'!$D$12</x:f>
        <x:v>2808.96</x:v>
      </x:c>
      <x:c r="AT20" s="36" t="n">
        <x:f>AT18*'Inputs'!$D$12</x:f>
        <x:v>2968.56</x:v>
      </x:c>
      <x:c r="AU20" s="36" t="n">
        <x:f>AU18*'Inputs'!$D$12</x:f>
        <x:v>2599.2</x:v>
      </x:c>
      <x:c r="AV20" s="36" t="n">
        <x:f>AV18*'Inputs'!$D$12</x:f>
        <x:v>2544.48</x:v>
      </x:c>
      <x:c r="AW20" s="36" t="n">
        <x:f>AW18*'Inputs'!$D$12</x:f>
        <x:v>2325.6</x:v>
      </x:c>
      <x:c r="AX20" s="36" t="n">
        <x:f>AX18*'Inputs'!$D$12</x:f>
        <x:v>2261.76</x:v>
      </x:c>
      <x:c r="AY20" s="36" t="n">
        <x:f>AY18*'Inputs'!$D$12</x:f>
        <x:v>2403.12</x:v>
      </x:c>
      <x:c r="AZ20" s="36" t="n">
        <x:f>AZ18*'Inputs'!$D$12</x:f>
        <x:v>2681.2799999999997</x:v>
      </x:c>
      <x:c r="BA20" s="36" t="n">
        <x:f>BA18*'Inputs'!$D$12</x:f>
        <x:v>3208.1280000000006</x:v>
      </x:c>
      <x:c r="BB20" s="36" t="n">
        <x:f>BB18*'Inputs'!$D$12</x:f>
        <x:v>3160.182857142857</x:v>
      </x:c>
      <x:c r="BC20" s="36" t="n">
        <x:f>BC18*'Inputs'!$D$12</x:f>
        <x:v>3313.8468571428575</x:v>
      </x:c>
      <x:c r="BD20" s="36" t="n">
        <x:f>BD18*'Inputs'!$D$12</x:f>
        <x:v>3208.1280000000006</x:v>
      </x:c>
      <x:c r="BE20" s="36" t="n">
        <x:f>BE18*'Inputs'!$D$12</x:f>
        <x:v>3001.1520000000005</x:v>
      </x:c>
      <x:c r="BF20" s="36" t="n">
        <x:f>BF18*'Inputs'!$D$12</x:f>
        <x:v>3062.304</x:v>
      </x:c>
      <x:c r="BG20" s="36" t="n">
        <x:f>BG18*'Inputs'!$D$12</x:f>
        <x:v>2681.2799999999997</x:v>
      </x:c>
      <x:c r="BH20" s="36" t="n">
        <x:f>BH18*'Inputs'!$D$12</x:f>
        <x:v>2624.8320000000003</x:v>
      </x:c>
      <x:c r="BI20" s="36" t="n">
        <x:f>BI18*'Inputs'!$D$12</x:f>
        <x:v>2399.04</x:v>
      </x:c>
      <x:c r="BJ20" s="36" t="n">
        <x:f>BJ18*'Inputs'!$D$12</x:f>
        <x:v>2333.184</x:v>
      </x:c>
      <x:c r="BK20" s="36" t="n">
        <x:f>BK18*'Inputs'!$D$12</x:f>
        <x:v>2479.008</x:v>
      </x:c>
    </x:row>
    <x:row r="21" ht="21" customHeight="1">
      <x:c r="A21" s="2"/>
      <x:c r="B21" s="2"/>
      <x:c r="C21" s="2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4"/>
      <x:c r="V21" s="34"/>
      <x:c r="W21" s="34"/>
      <x:c r="X21" s="34"/>
      <x:c r="Y21" s="34"/>
      <x:c r="Z21" s="34"/>
      <x:c r="AA21" s="34"/>
      <x:c r="AB21" s="34"/>
      <x:c r="AC21" s="34"/>
      <x:c r="AD21" s="34"/>
      <x:c r="AE21" s="34"/>
      <x:c r="AF21" s="34"/>
      <x:c r="AG21" s="34"/>
      <x:c r="AH21" s="34"/>
      <x:c r="AI21" s="34"/>
      <x:c r="AJ21" s="34"/>
      <x:c r="AK21" s="34"/>
      <x:c r="AL21" s="34"/>
      <x:c r="AM21" s="34"/>
      <x:c r="AN21" s="34"/>
      <x:c r="AO21" s="34"/>
      <x:c r="AP21" s="34"/>
      <x:c r="AQ21" s="34"/>
      <x:c r="AR21" s="34"/>
      <x:c r="AS21" s="34"/>
      <x:c r="AT21" s="34"/>
      <x:c r="AU21" s="34"/>
      <x:c r="AV21" s="34"/>
      <x:c r="AW21" s="34"/>
      <x:c r="AX21" s="34"/>
      <x:c r="AY21" s="34"/>
      <x:c r="AZ21" s="34"/>
      <x:c r="BA21" s="34"/>
      <x:c r="BB21" s="34"/>
      <x:c r="BC21" s="34"/>
      <x:c r="BD21" s="34"/>
      <x:c r="BE21" s="34"/>
      <x:c r="BF21" s="34"/>
      <x:c r="BG21" s="34"/>
      <x:c r="BH21" s="34"/>
      <x:c r="BI21" s="34"/>
      <x:c r="BJ21" s="34"/>
      <x:c r="BK21" s="34"/>
    </x:row>
    <x:row r="22" ht="21" customHeight="1">
      <x:c r="A22" s="2"/>
      <x:c r="B22" s="2"/>
      <x:c r="C22" s="2" t="str">
        <x:v>Peak gross price per player</x:v>
      </x:c>
      <x:c r="D22" s="46" t="n">
        <x:f>'Inputs'!$D$50*(1+'Inputs'!$D$39)^(D7-1)</x:f>
        <x:v>28</x:v>
      </x:c>
      <x:c r="E22" s="46" t="n">
        <x:f>'Inputs'!$D$50*(1+'Inputs'!$D$39)^(E7-1)</x:f>
        <x:v>28</x:v>
      </x:c>
      <x:c r="F22" s="46" t="n">
        <x:f>'Inputs'!$D$50*(1+'Inputs'!$D$39)^(F7-1)</x:f>
        <x:v>28</x:v>
      </x:c>
      <x:c r="G22" s="46" t="n">
        <x:f>'Inputs'!$D$50*(1+'Inputs'!$D$39)^(G7-1)</x:f>
        <x:v>28</x:v>
      </x:c>
      <x:c r="H22" s="46" t="n">
        <x:f>'Inputs'!$D$50*(1+'Inputs'!$D$39)^(H7-1)</x:f>
        <x:v>28</x:v>
      </x:c>
      <x:c r="I22" s="46" t="n">
        <x:f>'Inputs'!$D$50*(1+'Inputs'!$D$39)^(I7-1)</x:f>
        <x:v>28</x:v>
      </x:c>
      <x:c r="J22" s="46" t="n">
        <x:f>'Inputs'!$D$50*(1+'Inputs'!$D$39)^(J7-1)</x:f>
        <x:v>28</x:v>
      </x:c>
      <x:c r="K22" s="46" t="n">
        <x:f>'Inputs'!$D$50*(1+'Inputs'!$D$39)^(K7-1)</x:f>
        <x:v>28</x:v>
      </x:c>
      <x:c r="L22" s="46" t="n">
        <x:f>'Inputs'!$D$50*(1+'Inputs'!$D$39)^(L7-1)</x:f>
        <x:v>28</x:v>
      </x:c>
      <x:c r="M22" s="46" t="n">
        <x:f>'Inputs'!$D$50*(1+'Inputs'!$D$39)^(M7-1)</x:f>
        <x:v>28</x:v>
      </x:c>
      <x:c r="N22" s="46" t="n">
        <x:f>'Inputs'!$D$50*(1+'Inputs'!$D$39)^(N7-1)</x:f>
        <x:v>28</x:v>
      </x:c>
      <x:c r="O22" s="46" t="n">
        <x:f>'Inputs'!$D$50*(1+'Inputs'!$D$39)^(O7-1)</x:f>
        <x:v>28</x:v>
      </x:c>
      <x:c r="P22" s="46" t="n">
        <x:f>'Inputs'!$D$50*(1+'Inputs'!$D$39)^(P7-1)</x:f>
        <x:v>28</x:v>
      </x:c>
      <x:c r="Q22" s="46" t="n">
        <x:f>'Inputs'!$D$50*(1+'Inputs'!$D$39)^(Q7-1)</x:f>
        <x:v>28</x:v>
      </x:c>
      <x:c r="R22" s="46" t="n">
        <x:f>'Inputs'!$D$50*(1+'Inputs'!$D$39)^(R7-1)</x:f>
        <x:v>28</x:v>
      </x:c>
      <x:c r="S22" s="46" t="n">
        <x:f>'Inputs'!$D$50*(1+'Inputs'!$D$39)^(S7-1)</x:f>
        <x:v>28</x:v>
      </x:c>
      <x:c r="T22" s="46" t="n">
        <x:f>'Inputs'!$D$50*(1+'Inputs'!$D$39)^(T7-1)</x:f>
        <x:v>28</x:v>
      </x:c>
      <x:c r="U22" s="47" t="n">
        <x:f>'Inputs'!$D$50*(1+'Inputs'!$D$39)^(U7-1)</x:f>
        <x:v>28</x:v>
      </x:c>
      <x:c r="V22" s="47" t="n">
        <x:f>'Inputs'!$D$50*(1+'Inputs'!$D$39)^(V7-1)</x:f>
        <x:v>28</x:v>
      </x:c>
      <x:c r="W22" s="47" t="n">
        <x:f>'Inputs'!$D$50*(1+'Inputs'!$D$39)^(W7-1)</x:f>
        <x:v>28</x:v>
      </x:c>
      <x:c r="X22" s="47" t="n">
        <x:f>'Inputs'!$D$50*(1+'Inputs'!$D$39)^(X7-1)</x:f>
        <x:v>28</x:v>
      </x:c>
      <x:c r="Y22" s="47" t="n">
        <x:f>'Inputs'!$D$50*(1+'Inputs'!$D$39)^(Y7-1)</x:f>
        <x:v>28</x:v>
      </x:c>
      <x:c r="Z22" s="47" t="n">
        <x:f>'Inputs'!$D$50*(1+'Inputs'!$D$39)^(Z7-1)</x:f>
        <x:v>28</x:v>
      </x:c>
      <x:c r="AA22" s="47" t="n">
        <x:f>'Inputs'!$D$50*(1+'Inputs'!$D$39)^(AA7-1)</x:f>
        <x:v>28</x:v>
      </x:c>
      <x:c r="AB22" s="47" t="n">
        <x:f>'Inputs'!$D$50*(1+'Inputs'!$D$39)^(AB7-1)</x:f>
        <x:v>28</x:v>
      </x:c>
      <x:c r="AC22" s="47" t="n">
        <x:f>'Inputs'!$D$50*(1+'Inputs'!$D$39)^(AC7-1)</x:f>
        <x:v>28</x:v>
      </x:c>
      <x:c r="AD22" s="47" t="n">
        <x:f>'Inputs'!$D$50*(1+'Inputs'!$D$39)^(AD7-1)</x:f>
        <x:v>28</x:v>
      </x:c>
      <x:c r="AE22" s="47" t="n">
        <x:f>'Inputs'!$D$50*(1+'Inputs'!$D$39)^(AE7-1)</x:f>
        <x:v>28</x:v>
      </x:c>
      <x:c r="AF22" s="47" t="n">
        <x:f>'Inputs'!$D$50*(1+'Inputs'!$D$39)^(AF7-1)</x:f>
        <x:v>28</x:v>
      </x:c>
      <x:c r="AG22" s="47" t="n">
        <x:f>'Inputs'!$D$50*(1+'Inputs'!$D$39)^(AG7-1)</x:f>
        <x:v>28</x:v>
      </x:c>
      <x:c r="AH22" s="47" t="n">
        <x:f>'Inputs'!$D$50*(1+'Inputs'!$D$39)^(AH7-1)</x:f>
        <x:v>28</x:v>
      </x:c>
      <x:c r="AI22" s="47" t="n">
        <x:f>'Inputs'!$D$50*(1+'Inputs'!$D$39)^(AI7-1)</x:f>
        <x:v>28</x:v>
      </x:c>
      <x:c r="AJ22" s="47" t="n">
        <x:f>'Inputs'!$D$50*(1+'Inputs'!$D$39)^(AJ7-1)</x:f>
        <x:v>28</x:v>
      </x:c>
      <x:c r="AK22" s="47" t="n">
        <x:f>'Inputs'!$D$50*(1+'Inputs'!$D$39)^(AK7-1)</x:f>
        <x:v>28</x:v>
      </x:c>
      <x:c r="AL22" s="47" t="n">
        <x:f>'Inputs'!$D$50*(1+'Inputs'!$D$39)^(AL7-1)</x:f>
        <x:v>28</x:v>
      </x:c>
      <x:c r="AM22" s="47" t="n">
        <x:f>'Inputs'!$D$50*(1+'Inputs'!$D$39)^(AM7-1)</x:f>
        <x:v>28</x:v>
      </x:c>
      <x:c r="AN22" s="47" t="n">
        <x:f>'Inputs'!$D$50*(1+'Inputs'!$D$39)^(AN7-1)</x:f>
        <x:v>28</x:v>
      </x:c>
      <x:c r="AO22" s="47" t="n">
        <x:f>'Inputs'!$D$50*(1+'Inputs'!$D$39)^(AO7-1)</x:f>
        <x:v>28</x:v>
      </x:c>
      <x:c r="AP22" s="47" t="n">
        <x:f>'Inputs'!$D$50*(1+'Inputs'!$D$39)^(AP7-1)</x:f>
        <x:v>28</x:v>
      </x:c>
      <x:c r="AQ22" s="47" t="n">
        <x:f>'Inputs'!$D$50*(1+'Inputs'!$D$39)^(AQ7-1)</x:f>
        <x:v>28</x:v>
      </x:c>
      <x:c r="AR22" s="47" t="n">
        <x:f>'Inputs'!$D$50*(1+'Inputs'!$D$39)^(AR7-1)</x:f>
        <x:v>28</x:v>
      </x:c>
      <x:c r="AS22" s="47" t="n">
        <x:f>'Inputs'!$D$50*(1+'Inputs'!$D$39)^(AS7-1)</x:f>
        <x:v>28</x:v>
      </x:c>
      <x:c r="AT22" s="47" t="n">
        <x:f>'Inputs'!$D$50*(1+'Inputs'!$D$39)^(AT7-1)</x:f>
        <x:v>28</x:v>
      </x:c>
      <x:c r="AU22" s="47" t="n">
        <x:f>'Inputs'!$D$50*(1+'Inputs'!$D$39)^(AU7-1)</x:f>
        <x:v>28</x:v>
      </x:c>
      <x:c r="AV22" s="47" t="n">
        <x:f>'Inputs'!$D$50*(1+'Inputs'!$D$39)^(AV7-1)</x:f>
        <x:v>28</x:v>
      </x:c>
      <x:c r="AW22" s="47" t="n">
        <x:f>'Inputs'!$D$50*(1+'Inputs'!$D$39)^(AW7-1)</x:f>
        <x:v>28</x:v>
      </x:c>
      <x:c r="AX22" s="47" t="n">
        <x:f>'Inputs'!$D$50*(1+'Inputs'!$D$39)^(AX7-1)</x:f>
        <x:v>28</x:v>
      </x:c>
      <x:c r="AY22" s="47" t="n">
        <x:f>'Inputs'!$D$50*(1+'Inputs'!$D$39)^(AY7-1)</x:f>
        <x:v>28</x:v>
      </x:c>
      <x:c r="AZ22" s="47" t="n">
        <x:f>'Inputs'!$D$50*(1+'Inputs'!$D$39)^(AZ7-1)</x:f>
        <x:v>28</x:v>
      </x:c>
      <x:c r="BA22" s="47" t="n">
        <x:f>'Inputs'!$D$50*(1+'Inputs'!$D$39)^(BA7-1)</x:f>
        <x:v>28</x:v>
      </x:c>
      <x:c r="BB22" s="47" t="n">
        <x:f>'Inputs'!$D$50*(1+'Inputs'!$D$39)^(BB7-1)</x:f>
        <x:v>28</x:v>
      </x:c>
      <x:c r="BC22" s="47" t="n">
        <x:f>'Inputs'!$D$50*(1+'Inputs'!$D$39)^(BC7-1)</x:f>
        <x:v>28</x:v>
      </x:c>
      <x:c r="BD22" s="47" t="n">
        <x:f>'Inputs'!$D$50*(1+'Inputs'!$D$39)^(BD7-1)</x:f>
        <x:v>28</x:v>
      </x:c>
      <x:c r="BE22" s="47" t="n">
        <x:f>'Inputs'!$D$50*(1+'Inputs'!$D$39)^(BE7-1)</x:f>
        <x:v>28</x:v>
      </x:c>
      <x:c r="BF22" s="47" t="n">
        <x:f>'Inputs'!$D$50*(1+'Inputs'!$D$39)^(BF7-1)</x:f>
        <x:v>28</x:v>
      </x:c>
      <x:c r="BG22" s="47" t="n">
        <x:f>'Inputs'!$D$50*(1+'Inputs'!$D$39)^(BG7-1)</x:f>
        <x:v>28</x:v>
      </x:c>
      <x:c r="BH22" s="47" t="n">
        <x:f>'Inputs'!$D$50*(1+'Inputs'!$D$39)^(BH7-1)</x:f>
        <x:v>28</x:v>
      </x:c>
      <x:c r="BI22" s="47" t="n">
        <x:f>'Inputs'!$D$50*(1+'Inputs'!$D$39)^(BI7-1)</x:f>
        <x:v>28</x:v>
      </x:c>
      <x:c r="BJ22" s="47" t="n">
        <x:f>'Inputs'!$D$50*(1+'Inputs'!$D$39)^(BJ7-1)</x:f>
        <x:v>28</x:v>
      </x:c>
      <x:c r="BK22" s="47" t="n">
        <x:f>'Inputs'!$D$50*(1+'Inputs'!$D$39)^(BK7-1)</x:f>
        <x:v>28</x:v>
      </x:c>
    </x:row>
    <x:row r="23" ht="21" customHeight="1">
      <x:c r="A23" s="2"/>
      <x:c r="B23" s="2"/>
      <x:c r="C23" s="2" t="str">
        <x:v>Off peak gross price per player</x:v>
      </x:c>
      <x:c r="D23" s="46" t="n">
        <x:f>'Inputs'!$D$55*(1+'Inputs'!$D$39)^(D7-1)</x:f>
        <x:v>22</x:v>
      </x:c>
      <x:c r="E23" s="46" t="n">
        <x:f>'Inputs'!$D$55*(1+'Inputs'!$D$39)^(E7-1)</x:f>
        <x:v>22</x:v>
      </x:c>
      <x:c r="F23" s="46" t="n">
        <x:f>'Inputs'!$D$55*(1+'Inputs'!$D$39)^(F7-1)</x:f>
        <x:v>22</x:v>
      </x:c>
      <x:c r="G23" s="46" t="n">
        <x:f>'Inputs'!$D$55*(1+'Inputs'!$D$39)^(G7-1)</x:f>
        <x:v>22</x:v>
      </x:c>
      <x:c r="H23" s="46" t="n">
        <x:f>'Inputs'!$D$55*(1+'Inputs'!$D$39)^(H7-1)</x:f>
        <x:v>22</x:v>
      </x:c>
      <x:c r="I23" s="46" t="n">
        <x:f>'Inputs'!$D$55*(1+'Inputs'!$D$39)^(I7-1)</x:f>
        <x:v>22</x:v>
      </x:c>
      <x:c r="J23" s="46" t="n">
        <x:f>'Inputs'!$D$55*(1+'Inputs'!$D$39)^(J7-1)</x:f>
        <x:v>22</x:v>
      </x:c>
      <x:c r="K23" s="46" t="n">
        <x:f>'Inputs'!$D$55*(1+'Inputs'!$D$39)^(K7-1)</x:f>
        <x:v>22</x:v>
      </x:c>
      <x:c r="L23" s="46" t="n">
        <x:f>'Inputs'!$D$55*(1+'Inputs'!$D$39)^(L7-1)</x:f>
        <x:v>22</x:v>
      </x:c>
      <x:c r="M23" s="46" t="n">
        <x:f>'Inputs'!$D$55*(1+'Inputs'!$D$39)^(M7-1)</x:f>
        <x:v>22</x:v>
      </x:c>
      <x:c r="N23" s="46" t="n">
        <x:f>'Inputs'!$D$55*(1+'Inputs'!$D$39)^(N7-1)</x:f>
        <x:v>22</x:v>
      </x:c>
      <x:c r="O23" s="46" t="n">
        <x:f>'Inputs'!$D$55*(1+'Inputs'!$D$39)^(O7-1)</x:f>
        <x:v>22</x:v>
      </x:c>
      <x:c r="P23" s="46" t="n">
        <x:f>'Inputs'!$D$55*(1+'Inputs'!$D$39)^(P7-1)</x:f>
        <x:v>22</x:v>
      </x:c>
      <x:c r="Q23" s="46" t="n">
        <x:f>'Inputs'!$D$55*(1+'Inputs'!$D$39)^(Q7-1)</x:f>
        <x:v>22</x:v>
      </x:c>
      <x:c r="R23" s="46" t="n">
        <x:f>'Inputs'!$D$55*(1+'Inputs'!$D$39)^(R7-1)</x:f>
        <x:v>22</x:v>
      </x:c>
      <x:c r="S23" s="46" t="n">
        <x:f>'Inputs'!$D$55*(1+'Inputs'!$D$39)^(S7-1)</x:f>
        <x:v>22</x:v>
      </x:c>
      <x:c r="T23" s="46" t="n">
        <x:f>'Inputs'!$D$55*(1+'Inputs'!$D$39)^(T7-1)</x:f>
        <x:v>22</x:v>
      </x:c>
      <x:c r="U23" s="47" t="n">
        <x:f>'Inputs'!$D$55*(1+'Inputs'!$D$39)^(U7-1)</x:f>
        <x:v>22</x:v>
      </x:c>
      <x:c r="V23" s="47" t="n">
        <x:f>'Inputs'!$D$55*(1+'Inputs'!$D$39)^(V7-1)</x:f>
        <x:v>22</x:v>
      </x:c>
      <x:c r="W23" s="47" t="n">
        <x:f>'Inputs'!$D$55*(1+'Inputs'!$D$39)^(W7-1)</x:f>
        <x:v>22</x:v>
      </x:c>
      <x:c r="X23" s="47" t="n">
        <x:f>'Inputs'!$D$55*(1+'Inputs'!$D$39)^(X7-1)</x:f>
        <x:v>22</x:v>
      </x:c>
      <x:c r="Y23" s="47" t="n">
        <x:f>'Inputs'!$D$55*(1+'Inputs'!$D$39)^(Y7-1)</x:f>
        <x:v>22</x:v>
      </x:c>
      <x:c r="Z23" s="47" t="n">
        <x:f>'Inputs'!$D$55*(1+'Inputs'!$D$39)^(Z7-1)</x:f>
        <x:v>22</x:v>
      </x:c>
      <x:c r="AA23" s="47" t="n">
        <x:f>'Inputs'!$D$55*(1+'Inputs'!$D$39)^(AA7-1)</x:f>
        <x:v>22</x:v>
      </x:c>
      <x:c r="AB23" s="47" t="n">
        <x:f>'Inputs'!$D$55*(1+'Inputs'!$D$39)^(AB7-1)</x:f>
        <x:v>22</x:v>
      </x:c>
      <x:c r="AC23" s="47" t="n">
        <x:f>'Inputs'!$D$55*(1+'Inputs'!$D$39)^(AC7-1)</x:f>
        <x:v>22</x:v>
      </x:c>
      <x:c r="AD23" s="47" t="n">
        <x:f>'Inputs'!$D$55*(1+'Inputs'!$D$39)^(AD7-1)</x:f>
        <x:v>22</x:v>
      </x:c>
      <x:c r="AE23" s="47" t="n">
        <x:f>'Inputs'!$D$55*(1+'Inputs'!$D$39)^(AE7-1)</x:f>
        <x:v>22</x:v>
      </x:c>
      <x:c r="AF23" s="47" t="n">
        <x:f>'Inputs'!$D$55*(1+'Inputs'!$D$39)^(AF7-1)</x:f>
        <x:v>22</x:v>
      </x:c>
      <x:c r="AG23" s="47" t="n">
        <x:f>'Inputs'!$D$55*(1+'Inputs'!$D$39)^(AG7-1)</x:f>
        <x:v>22</x:v>
      </x:c>
      <x:c r="AH23" s="47" t="n">
        <x:f>'Inputs'!$D$55*(1+'Inputs'!$D$39)^(AH7-1)</x:f>
        <x:v>22</x:v>
      </x:c>
      <x:c r="AI23" s="47" t="n">
        <x:f>'Inputs'!$D$55*(1+'Inputs'!$D$39)^(AI7-1)</x:f>
        <x:v>22</x:v>
      </x:c>
      <x:c r="AJ23" s="47" t="n">
        <x:f>'Inputs'!$D$55*(1+'Inputs'!$D$39)^(AJ7-1)</x:f>
        <x:v>22</x:v>
      </x:c>
      <x:c r="AK23" s="47" t="n">
        <x:f>'Inputs'!$D$55*(1+'Inputs'!$D$39)^(AK7-1)</x:f>
        <x:v>22</x:v>
      </x:c>
      <x:c r="AL23" s="47" t="n">
        <x:f>'Inputs'!$D$55*(1+'Inputs'!$D$39)^(AL7-1)</x:f>
        <x:v>22</x:v>
      </x:c>
      <x:c r="AM23" s="47" t="n">
        <x:f>'Inputs'!$D$55*(1+'Inputs'!$D$39)^(AM7-1)</x:f>
        <x:v>22</x:v>
      </x:c>
      <x:c r="AN23" s="47" t="n">
        <x:f>'Inputs'!$D$55*(1+'Inputs'!$D$39)^(AN7-1)</x:f>
        <x:v>22</x:v>
      </x:c>
      <x:c r="AO23" s="47" t="n">
        <x:f>'Inputs'!$D$55*(1+'Inputs'!$D$39)^(AO7-1)</x:f>
        <x:v>22</x:v>
      </x:c>
      <x:c r="AP23" s="47" t="n">
        <x:f>'Inputs'!$D$55*(1+'Inputs'!$D$39)^(AP7-1)</x:f>
        <x:v>22</x:v>
      </x:c>
      <x:c r="AQ23" s="47" t="n">
        <x:f>'Inputs'!$D$55*(1+'Inputs'!$D$39)^(AQ7-1)</x:f>
        <x:v>22</x:v>
      </x:c>
      <x:c r="AR23" s="47" t="n">
        <x:f>'Inputs'!$D$55*(1+'Inputs'!$D$39)^(AR7-1)</x:f>
        <x:v>22</x:v>
      </x:c>
      <x:c r="AS23" s="47" t="n">
        <x:f>'Inputs'!$D$55*(1+'Inputs'!$D$39)^(AS7-1)</x:f>
        <x:v>22</x:v>
      </x:c>
      <x:c r="AT23" s="47" t="n">
        <x:f>'Inputs'!$D$55*(1+'Inputs'!$D$39)^(AT7-1)</x:f>
        <x:v>22</x:v>
      </x:c>
      <x:c r="AU23" s="47" t="n">
        <x:f>'Inputs'!$D$55*(1+'Inputs'!$D$39)^(AU7-1)</x:f>
        <x:v>22</x:v>
      </x:c>
      <x:c r="AV23" s="47" t="n">
        <x:f>'Inputs'!$D$55*(1+'Inputs'!$D$39)^(AV7-1)</x:f>
        <x:v>22</x:v>
      </x:c>
      <x:c r="AW23" s="47" t="n">
        <x:f>'Inputs'!$D$55*(1+'Inputs'!$D$39)^(AW7-1)</x:f>
        <x:v>22</x:v>
      </x:c>
      <x:c r="AX23" s="47" t="n">
        <x:f>'Inputs'!$D$55*(1+'Inputs'!$D$39)^(AX7-1)</x:f>
        <x:v>22</x:v>
      </x:c>
      <x:c r="AY23" s="47" t="n">
        <x:f>'Inputs'!$D$55*(1+'Inputs'!$D$39)^(AY7-1)</x:f>
        <x:v>22</x:v>
      </x:c>
      <x:c r="AZ23" s="47" t="n">
        <x:f>'Inputs'!$D$55*(1+'Inputs'!$D$39)^(AZ7-1)</x:f>
        <x:v>22</x:v>
      </x:c>
      <x:c r="BA23" s="47" t="n">
        <x:f>'Inputs'!$D$55*(1+'Inputs'!$D$39)^(BA7-1)</x:f>
        <x:v>22</x:v>
      </x:c>
      <x:c r="BB23" s="47" t="n">
        <x:f>'Inputs'!$D$55*(1+'Inputs'!$D$39)^(BB7-1)</x:f>
        <x:v>22</x:v>
      </x:c>
      <x:c r="BC23" s="47" t="n">
        <x:f>'Inputs'!$D$55*(1+'Inputs'!$D$39)^(BC7-1)</x:f>
        <x:v>22</x:v>
      </x:c>
      <x:c r="BD23" s="47" t="n">
        <x:f>'Inputs'!$D$55*(1+'Inputs'!$D$39)^(BD7-1)</x:f>
        <x:v>22</x:v>
      </x:c>
      <x:c r="BE23" s="47" t="n">
        <x:f>'Inputs'!$D$55*(1+'Inputs'!$D$39)^(BE7-1)</x:f>
        <x:v>22</x:v>
      </x:c>
      <x:c r="BF23" s="47" t="n">
        <x:f>'Inputs'!$D$55*(1+'Inputs'!$D$39)^(BF7-1)</x:f>
        <x:v>22</x:v>
      </x:c>
      <x:c r="BG23" s="47" t="n">
        <x:f>'Inputs'!$D$55*(1+'Inputs'!$D$39)^(BG7-1)</x:f>
        <x:v>22</x:v>
      </x:c>
      <x:c r="BH23" s="47" t="n">
        <x:f>'Inputs'!$D$55*(1+'Inputs'!$D$39)^(BH7-1)</x:f>
        <x:v>22</x:v>
      </x:c>
      <x:c r="BI23" s="47" t="n">
        <x:f>'Inputs'!$D$55*(1+'Inputs'!$D$39)^(BI7-1)</x:f>
        <x:v>22</x:v>
      </x:c>
      <x:c r="BJ23" s="47" t="n">
        <x:f>'Inputs'!$D$55*(1+'Inputs'!$D$39)^(BJ7-1)</x:f>
        <x:v>22</x:v>
      </x:c>
      <x:c r="BK23" s="47" t="n">
        <x:f>'Inputs'!$D$55*(1+'Inputs'!$D$39)^(BK7-1)</x:f>
        <x:v>22</x:v>
      </x:c>
    </x:row>
    <x:row r="24" ht="21" customHeight="1">
      <x:c r="A24" s="2"/>
      <x:c r="B24" s="2"/>
      <x:c r="C24" s="2" t="str">
        <x:v>Gross court receipts incl GST</x:v>
      </x:c>
      <x:c r="D24" s="22" t="n">
        <x:f>(D16*D22+D17*D23)*'Inputs'!$D$12</x:f>
        <x:v>41876.43428571428</x:v>
      </x:c>
      <x:c r="E24" s="22" t="n">
        <x:f>(E16*E22+E17*E23)*'Inputs'!$D$12</x:f>
        <x:v>50104.78628571429</x:v>
      </x:c>
      <x:c r="F24" s="22" t="n">
        <x:f>(F16*F22+F17*F23)*'Inputs'!$D$12</x:f>
        <x:v>50692.52571428571</x:v>
      </x:c>
      <x:c r="G24" s="22" t="n">
        <x:f>(G16*G22+G17*G23)*'Inputs'!$D$12</x:f>
        <x:v>54659.76685714286</x:v>
      </x:c>
      <x:c r="H24" s="22" t="n">
        <x:f>(H16*H22+H17*H23)*'Inputs'!$D$12</x:f>
        <x:v>50104.78628571429</x:v>
      </x:c>
      <x:c r="I24" s="22" t="n">
        <x:f>(I16*I22+I17*I23)*'Inputs'!$D$12</x:f>
        <x:v>46872.219428571436</x:v>
      </x:c>
      <x:c r="J24" s="22" t="n">
        <x:f>(J16*J22+J17*J23)*'Inputs'!$D$12</x:f>
        <x:v>47827.29600000001</x:v>
      </x:c>
      <x:c r="K24" s="22" t="n">
        <x:f>(K16*K22+K17*K23)*'Inputs'!$D$12</x:f>
        <x:v>41876.43428571428</x:v>
      </x:c>
      <x:c r="L24" s="22" t="n">
        <x:f>(L16*L22+L17*L23)*'Inputs'!$D$12</x:f>
        <x:v>40994.825142857146</x:v>
      </x:c>
      <x:c r="M24" s="22" t="n">
        <x:f>(M16*M22+M17*M23)*'Inputs'!$D$12</x:f>
        <x:v>37468.38857142857</x:v>
      </x:c>
      <x:c r="N24" s="22" t="n">
        <x:f>(N16*N22+N17*N23)*'Inputs'!$D$12</x:f>
        <x:v>36439.84457142858</x:v>
      </x:c>
      <x:c r="O24" s="22" t="n">
        <x:f>(O16*O22+O17*O23)*'Inputs'!$D$12</x:f>
        <x:v>38717.33485714286</x:v>
      </x:c>
      <x:c r="P24" s="22" t="n">
        <x:f>(P16*P22+P17*P23)*'Inputs'!$D$12</x:f>
        <x:v>56241.737142857135</x:v>
      </x:c>
      <x:c r="Q24" s="22" t="n">
        <x:f>(Q16*Q22+Q17*Q23)*'Inputs'!$D$12</x:f>
        <x:v>67292.74514285715</x:v>
      </x:c>
      <x:c r="R24" s="22" t="n">
        <x:f>(R16*R22+R17*R23)*'Inputs'!$D$12</x:f>
        <x:v>68082.10285714286</x:v>
      </x:c>
      <x:c r="S24" s="22" t="n">
        <x:f>(S16*S22+S17*S23)*'Inputs'!$D$12</x:f>
        <x:v>73410.26742857143</x:v>
      </x:c>
      <x:c r="T24" s="22" t="n">
        <x:f>(T16*T22+T17*T23)*'Inputs'!$D$12</x:f>
        <x:v>67292.74514285715</x:v>
      </x:c>
      <x:c r="U24" s="36" t="n">
        <x:f>(U16*U22+U17*U23)*'Inputs'!$D$12</x:f>
        <x:v>60780.54400000001</x:v>
      </x:c>
      <x:c r="V24" s="36" t="n">
        <x:f>(V16*V22+V17*V23)*'Inputs'!$D$12</x:f>
        <x:v>64233.98400000001</x:v>
      </x:c>
      <x:c r="W24" s="36" t="n">
        <x:f>(W16*W22+W17*W23)*'Inputs'!$D$12</x:f>
        <x:v>56241.737142857135</x:v>
      </x:c>
      <x:c r="X24" s="36" t="n">
        <x:f>(X16*X22+X17*X23)*'Inputs'!$D$12</x:f>
        <x:v>55057.70057142858</x:v>
      </x:c>
      <x:c r="Y24" s="36" t="n">
        <x:f>(Y16*Y22+Y17*Y23)*'Inputs'!$D$12</x:f>
        <x:v>50321.55428571429</x:v>
      </x:c>
      <x:c r="Z24" s="36" t="n">
        <x:f>(Z16*Z22+Z17*Z23)*'Inputs'!$D$12</x:f>
        <x:v>48940.17828571428</x:v>
      </x:c>
      <x:c r="AA24" s="36" t="n">
        <x:f>(AA16*AA22+AA17*AA23)*'Inputs'!$D$12</x:f>
        <x:v>51998.93942857144</x:v>
      </x:c>
      <x:c r="AB24" s="36" t="n">
        <x:f>(AB16*AB22+AB17*AB23)*'Inputs'!$D$12</x:f>
        <x:v>65632.73142857142</x:v>
      </x:c>
      <x:c r="AC24" s="36" t="n">
        <x:f>(AC16*AC22+AC17*AC23)*'Inputs'!$D$12</x:f>
        <x:v>78528.98742857143</x:v>
      </x:c>
      <x:c r="AD24" s="36" t="n">
        <x:f>(AD16*AD22+AD17*AD23)*'Inputs'!$D$12</x:f>
        <x:v>79450.14857142857</x:v>
      </x:c>
      <x:c r="AE24" s="36" t="n">
        <x:f>(AE16*AE22+AE17*AE23)*'Inputs'!$D$12</x:f>
        <x:v>83509.39428571428</x:v>
      </x:c>
      <x:c r="AF24" s="36" t="n">
        <x:f>(AF16*AF22+AF17*AF23)*'Inputs'!$D$12</x:f>
        <x:v>78528.98742857143</x:v>
      </x:c>
      <x:c r="AG24" s="36" t="n">
        <x:f>(AG16*AG22+AG17*AG23)*'Inputs'!$D$12</x:f>
        <x:v>70929.408</x:v>
      </x:c>
      <x:c r="AH24" s="36" t="n">
        <x:f>(AH16*AH22+AH17*AH23)*'Inputs'!$D$12</x:f>
        <x:v>74959.48800000001</x:v>
      </x:c>
      <x:c r="AI24" s="36" t="n">
        <x:f>(AI16*AI22+AI17*AI23)*'Inputs'!$D$12</x:f>
        <x:v>65632.73142857142</x:v>
      </x:c>
      <x:c r="AJ24" s="36" t="n">
        <x:f>(AJ16*AJ22+AJ17*AJ23)*'Inputs'!$D$12</x:f>
        <x:v>64250.989714285715</x:v>
      </x:c>
      <x:c r="AK24" s="36" t="n">
        <x:f>(AK16*AK22+AK17*AK23)*'Inputs'!$D$12</x:f>
        <x:v>58724.02285714285</x:v>
      </x:c>
      <x:c r="AL24" s="36" t="n">
        <x:f>(AL16*AL22+AL17*AL23)*'Inputs'!$D$12</x:f>
        <x:v>57111.99085714286</x:v>
      </x:c>
      <x:c r="AM24" s="36" t="n">
        <x:f>(AM16*AM22+AM17*AM23)*'Inputs'!$D$12</x:f>
        <x:v>60681.49028571429</x:v>
      </x:c>
      <x:c r="AN24" s="36" t="n">
        <x:f>(AN16*AN22+AN17*AN23)*'Inputs'!$D$12</x:f>
        <x:v>67688.64</x:v>
      </x:c>
      <x:c r="AO24" s="36" t="n">
        <x:f>(AO16*AO22+AO17*AO23)*'Inputs'!$D$12</x:f>
        <x:v>80988.86400000002</x:v>
      </x:c>
      <x:c r="AP24" s="36" t="n">
        <x:f>(AP16*AP22+AP17*AP23)*'Inputs'!$D$12</x:f>
        <x:v>80955.84</x:v>
      </x:c>
      <x:c r="AQ24" s="36" t="n">
        <x:f>(AQ16*AQ22+AQ17*AQ23)*'Inputs'!$D$12</x:f>
        <x:v>84669.18400000001</x:v>
      </x:c>
      <x:c r="AR24" s="36" t="n">
        <x:f>(AR16*AR22+AR17*AR23)*'Inputs'!$D$12</x:f>
        <x:v>80988.86400000002</x:v>
      </x:c>
      <x:c r="AS24" s="36" t="n">
        <x:f>(AS16*AS22+AS17*AS23)*'Inputs'!$D$12</x:f>
        <x:v>73151.232</x:v>
      </x:c>
      <x:c r="AT24" s="36" t="n">
        <x:f>(AT16*AT22+AT17*AT23)*'Inputs'!$D$12</x:f>
        <x:v>77307.552</x:v>
      </x:c>
      <x:c r="AU24" s="36" t="n">
        <x:f>(AU16*AU22+AU17*AU23)*'Inputs'!$D$12</x:f>
        <x:v>67688.64</x:v>
      </x:c>
      <x:c r="AV24" s="36" t="n">
        <x:f>(AV16*AV22+AV17*AV23)*'Inputs'!$D$12</x:f>
        <x:v>66263.61600000001</x:v>
      </x:c>
      <x:c r="AW24" s="36" t="n">
        <x:f>(AW16*AW22+AW17*AW23)*'Inputs'!$D$12</x:f>
        <x:v>60563.52</x:v>
      </x:c>
      <x:c r="AX24" s="36" t="n">
        <x:f>(AX16*AX22+AX17*AX23)*'Inputs'!$D$12</x:f>
        <x:v>58900.99200000001</x:v>
      </x:c>
      <x:c r="AY24" s="36" t="n">
        <x:f>(AY16*AY22+AY17*AY23)*'Inputs'!$D$12</x:f>
        <x:v>62582.304000000004</x:v>
      </x:c>
      <x:c r="AZ24" s="36" t="n">
        <x:f>(AZ16*AZ22+AZ17*AZ23)*'Inputs'!$D$12</x:f>
        <x:v>69744.54857142858</x:v>
      </x:c>
      <x:c r="BA24" s="36" t="n">
        <x:f>(BA16*BA22+BA17*BA23)*'Inputs'!$D$12</x:f>
        <x:v>83448.74057142859</x:v>
      </x:c>
      <x:c r="BB24" s="36" t="n">
        <x:f>(BB16*BB22+BB17*BB23)*'Inputs'!$D$12</x:f>
        <x:v>82031.45142857142</x:v>
      </x:c>
      <x:c r="BC24" s="36" t="n">
        <x:f>(BC16*BC22+BC17*BC23)*'Inputs'!$D$12</x:f>
        <x:v>85828.97371428572</x:v>
      </x:c>
      <x:c r="BD24" s="36" t="n">
        <x:f>(BD16*BD22+BD17*BD23)*'Inputs'!$D$12</x:f>
        <x:v>83448.74057142859</x:v>
      </x:c>
      <x:c r="BE24" s="36" t="n">
        <x:f>(BE16*BE22+BE17*BE23)*'Inputs'!$D$12</x:f>
        <x:v>78064.95085714286</x:v>
      </x:c>
      <x:c r="BF24" s="36" t="n">
        <x:f>(BF16*BF22+BF17*BF23)*'Inputs'!$D$12</x:f>
        <x:v>79655.61600000001</x:v>
      </x:c>
      <x:c r="BG24" s="36" t="n">
        <x:f>(BG16*BG22+BG17*BG23)*'Inputs'!$D$12</x:f>
        <x:v>69744.54857142858</x:v>
      </x:c>
      <x:c r="BH24" s="36" t="n">
        <x:f>(BH16*BH22+BH17*BH23)*'Inputs'!$D$12</x:f>
        <x:v>68276.24228571428</x:v>
      </x:c>
      <x:c r="BI24" s="36" t="n">
        <x:f>(BI16*BI22+BI17*BI23)*'Inputs'!$D$12</x:f>
        <x:v>62403.01714285714</x:v>
      </x:c>
      <x:c r="BJ24" s="36" t="n">
        <x:f>(BJ16*BJ22+BJ17*BJ23)*'Inputs'!$D$12</x:f>
        <x:v>60689.99314285715</x:v>
      </x:c>
      <x:c r="BK24" s="36" t="n">
        <x:f>(BK16*BK22+BK17*BK23)*'Inputs'!$D$12</x:f>
        <x:v>64483.11771428572</x:v>
      </x:c>
    </x:row>
    <x:row r="25" ht="21" customHeight="1">
      <x:c r="A25" s="2"/>
      <x:c r="B25" s="2"/>
      <x:c r="C25" s="59" t="str">
        <x:v>Net court revenue excl GST</x:v>
      </x:c>
      <x:c r="D25" s="67" t="n">
        <x:f>D24/(1+'Inputs'!$D$13)</x:f>
        <x:v>39882.318367346925</x:v>
      </x:c>
      <x:c r="E25" s="67" t="n">
        <x:f>E24/(1+'Inputs'!$D$13)</x:f>
        <x:v>47718.844081632655</x:v>
      </x:c>
      <x:c r="F25" s="67" t="n">
        <x:f>F24/(1+'Inputs'!$D$13)</x:f>
        <x:v>48278.59591836734</x:v>
      </x:c>
      <x:c r="G25" s="67" t="n">
        <x:f>G24/(1+'Inputs'!$D$13)</x:f>
        <x:v>52056.92081632653</x:v>
      </x:c>
      <x:c r="H25" s="67" t="n">
        <x:f>H24/(1+'Inputs'!$D$13)</x:f>
        <x:v>47718.844081632655</x:v>
      </x:c>
      <x:c r="I25" s="67" t="n">
        <x:f>I24/(1+'Inputs'!$D$13)</x:f>
        <x:v>44640.208979591844</x:v>
      </x:c>
      <x:c r="J25" s="67" t="n">
        <x:f>J24/(1+'Inputs'!$D$13)</x:f>
        <x:v>45549.80571428572</x:v>
      </x:c>
      <x:c r="K25" s="67" t="n">
        <x:f>K24/(1+'Inputs'!$D$13)</x:f>
        <x:v>39882.318367346925</x:v>
      </x:c>
      <x:c r="L25" s="67" t="n">
        <x:f>L24/(1+'Inputs'!$D$13)</x:f>
        <x:v>39042.6906122449</x:v>
      </x:c>
      <x:c r="M25" s="67" t="n">
        <x:f>M24/(1+'Inputs'!$D$13)</x:f>
        <x:v>35684.179591836735</x:v>
      </x:c>
      <x:c r="N25" s="67" t="n">
        <x:f>N24/(1+'Inputs'!$D$13)</x:f>
        <x:v>34704.613877551026</x:v>
      </x:c>
      <x:c r="O25" s="67" t="n">
        <x:f>O24/(1+'Inputs'!$D$13)</x:f>
        <x:v>36873.65224489796</x:v>
      </x:c>
      <x:c r="P25" s="67" t="n">
        <x:f>P24/(1+'Inputs'!$D$13)</x:f>
        <x:v>53563.55918367346</x:v>
      </x:c>
      <x:c r="Q25" s="67" t="n">
        <x:f>Q24/(1+'Inputs'!$D$13)</x:f>
        <x:v>64088.328707483</x:v>
      </x:c>
      <x:c r="R25" s="67" t="n">
        <x:f>R24/(1+'Inputs'!$D$13)</x:f>
        <x:v>64840.09795918367</x:v>
      </x:c>
      <x:c r="S25" s="67" t="n">
        <x:f>S24/(1+'Inputs'!$D$13)</x:f>
        <x:v>69914.54040816326</x:v>
      </x:c>
      <x:c r="T25" s="67" t="n">
        <x:f>T24/(1+'Inputs'!$D$13)</x:f>
        <x:v>64088.328707483</x:v>
      </x:c>
      <x:c r="U25" s="68" t="n">
        <x:f>U24/(1+'Inputs'!$D$13)</x:f>
        <x:v>57886.23238095239</x:v>
      </x:c>
      <x:c r="V25" s="68" t="n">
        <x:f>V24/(1+'Inputs'!$D$13)</x:f>
        <x:v>61175.222857142864</x:v>
      </x:c>
      <x:c r="W25" s="68" t="n">
        <x:f>W24/(1+'Inputs'!$D$13)</x:f>
        <x:v>53563.55918367346</x:v>
      </x:c>
      <x:c r="X25" s="68" t="n">
        <x:f>X24/(1+'Inputs'!$D$13)</x:f>
        <x:v>52435.905306122455</x:v>
      </x:c>
      <x:c r="Y25" s="68" t="n">
        <x:f>Y24/(1+'Inputs'!$D$13)</x:f>
        <x:v>47925.28979591837</x:v>
      </x:c>
      <x:c r="Z25" s="68" t="n">
        <x:f>Z24/(1+'Inputs'!$D$13)</x:f>
        <x:v>46609.693605442175</x:v>
      </x:c>
      <x:c r="AA25" s="68" t="n">
        <x:f>AA24/(1+'Inputs'!$D$13)</x:f>
        <x:v>49522.79945578232</x:v>
      </x:c>
      <x:c r="AB25" s="68" t="n">
        <x:f>AB24/(1+'Inputs'!$D$13)</x:f>
        <x:v>62507.363265306114</x:v>
      </x:c>
      <x:c r="AC25" s="68" t="n">
        <x:f>AC24/(1+'Inputs'!$D$13)</x:f>
        <x:v>74789.51183673469</x:v>
      </x:c>
      <x:c r="AD25" s="68" t="n">
        <x:f>AD24/(1+'Inputs'!$D$13)</x:f>
        <x:v>75666.8081632653</x:v>
      </x:c>
      <x:c r="AE25" s="68" t="n">
        <x:f>AE24/(1+'Inputs'!$D$13)</x:f>
        <x:v>79532.75646258502</x:v>
      </x:c>
      <x:c r="AF25" s="68" t="n">
        <x:f>AF24/(1+'Inputs'!$D$13)</x:f>
        <x:v>74789.51183673469</x:v>
      </x:c>
      <x:c r="AG25" s="68" t="n">
        <x:f>AG24/(1+'Inputs'!$D$13)</x:f>
        <x:v>67551.81714285714</x:v>
      </x:c>
      <x:c r="AH25" s="68" t="n">
        <x:f>AH24/(1+'Inputs'!$D$13)</x:f>
        <x:v>71389.98857142858</x:v>
      </x:c>
      <x:c r="AI25" s="68" t="n">
        <x:f>AI24/(1+'Inputs'!$D$13)</x:f>
        <x:v>62507.363265306114</x:v>
      </x:c>
      <x:c r="AJ25" s="68" t="n">
        <x:f>AJ24/(1+'Inputs'!$D$13)</x:f>
        <x:v>61191.4187755102</x:v>
      </x:c>
      <x:c r="AK25" s="68" t="n">
        <x:f>AK24/(1+'Inputs'!$D$13)</x:f>
        <x:v>55927.64081632652</x:v>
      </x:c>
      <x:c r="AL25" s="68" t="n">
        <x:f>AL24/(1+'Inputs'!$D$13)</x:f>
        <x:v>54392.37224489796</x:v>
      </x:c>
      <x:c r="AM25" s="68" t="n">
        <x:f>AM24/(1+'Inputs'!$D$13)</x:f>
        <x:v>57791.89551020408</x:v>
      </x:c>
      <x:c r="AN25" s="68" t="n">
        <x:f>AN24/(1+'Inputs'!$D$13)</x:f>
        <x:v>64465.37142857142</x:v>
      </x:c>
      <x:c r="AO25" s="68" t="n">
        <x:f>AO24/(1+'Inputs'!$D$13)</x:f>
        <x:v>77132.25142857144</x:v>
      </x:c>
      <x:c r="AP25" s="68" t="n">
        <x:f>AP24/(1+'Inputs'!$D$13)</x:f>
        <x:v>77100.79999999999</x:v>
      </x:c>
      <x:c r="AQ25" s="68" t="n">
        <x:f>AQ24/(1+'Inputs'!$D$13)</x:f>
        <x:v>80637.3180952381</x:v>
      </x:c>
      <x:c r="AR25" s="68" t="n">
        <x:f>AR24/(1+'Inputs'!$D$13)</x:f>
        <x:v>77132.25142857144</x:v>
      </x:c>
      <x:c r="AS25" s="68" t="n">
        <x:f>AS24/(1+'Inputs'!$D$13)</x:f>
        <x:v>69667.84</x:v>
      </x:c>
      <x:c r="AT25" s="68" t="n">
        <x:f>AT24/(1+'Inputs'!$D$13)</x:f>
        <x:v>73626.23999999999</x:v>
      </x:c>
      <x:c r="AU25" s="68" t="n">
        <x:f>AU24/(1+'Inputs'!$D$13)</x:f>
        <x:v>64465.37142857142</x:v>
      </x:c>
      <x:c r="AV25" s="68" t="n">
        <x:f>AV24/(1+'Inputs'!$D$13)</x:f>
        <x:v>63108.20571428572</x:v>
      </x:c>
      <x:c r="AW25" s="68" t="n">
        <x:f>AW24/(1+'Inputs'!$D$13)</x:f>
        <x:v>57679.54285714285</x:v>
      </x:c>
      <x:c r="AX25" s="68" t="n">
        <x:f>AX24/(1+'Inputs'!$D$13)</x:f>
        <x:v>56096.18285714287</x:v>
      </x:c>
      <x:c r="AY25" s="68" t="n">
        <x:f>AY24/(1+'Inputs'!$D$13)</x:f>
        <x:v>59602.194285714286</x:v>
      </x:c>
      <x:c r="AZ25" s="68" t="n">
        <x:f>AZ24/(1+'Inputs'!$D$13)</x:f>
        <x:v>66423.37959183674</x:v>
      </x:c>
      <x:c r="BA25" s="68" t="n">
        <x:f>BA24/(1+'Inputs'!$D$13)</x:f>
        <x:v>79474.99102040817</x:v>
      </x:c>
      <x:c r="BB25" s="68" t="n">
        <x:f>BB24/(1+'Inputs'!$D$13)</x:f>
        <x:v>78125.19183673468</x:v>
      </x:c>
      <x:c r="BC25" s="68" t="n">
        <x:f>BC24/(1+'Inputs'!$D$13)</x:f>
        <x:v>81741.87972789115</x:v>
      </x:c>
      <x:c r="BD25" s="68" t="n">
        <x:f>BD24/(1+'Inputs'!$D$13)</x:f>
        <x:v>79474.99102040817</x:v>
      </x:c>
      <x:c r="BE25" s="68" t="n">
        <x:f>BE24/(1+'Inputs'!$D$13)</x:f>
        <x:v>74347.57224489796</x:v>
      </x:c>
      <x:c r="BF25" s="68" t="n">
        <x:f>BF24/(1+'Inputs'!$D$13)</x:f>
        <x:v>75862.49142857143</x:v>
      </x:c>
      <x:c r="BG25" s="68" t="n">
        <x:f>BG24/(1+'Inputs'!$D$13)</x:f>
        <x:v>66423.37959183674</x:v>
      </x:c>
      <x:c r="BH25" s="68" t="n">
        <x:f>BH24/(1+'Inputs'!$D$13)</x:f>
        <x:v>65024.992653061214</x:v>
      </x:c>
      <x:c r="BI25" s="68" t="n">
        <x:f>BI24/(1+'Inputs'!$D$13)</x:f>
        <x:v>59431.444897959176</x:v>
      </x:c>
      <x:c r="BJ25" s="68" t="n">
        <x:f>BJ24/(1+'Inputs'!$D$13)</x:f>
        <x:v>57799.99346938776</x:v>
      </x:c>
      <x:c r="BK25" s="68" t="n">
        <x:f>BK24/(1+'Inputs'!$D$13)</x:f>
        <x:v>61412.49306122449</x:v>
      </x:c>
    </x:row>
    <x:row r="26" ht="21" customHeight="1">
      <x:c r="A26" s="2"/>
      <x:c r="B26" s="2"/>
      <x:c r="C26" s="2" t="str">
        <x:v>Payment processing cost</x:v>
      </x:c>
      <x:c r="D26" s="22" t="n">
        <x:f>D24*'Inputs'!$D$14</x:f>
        <x:v>1256.2930285714283</x:v>
      </x:c>
      <x:c r="E26" s="22" t="n">
        <x:f>E24*'Inputs'!$D$14</x:f>
        <x:v>1503.1435885714286</x:v>
      </x:c>
      <x:c r="F26" s="22" t="n">
        <x:f>F24*'Inputs'!$D$14</x:f>
        <x:v>1520.7757714285713</x:v>
      </x:c>
      <x:c r="G26" s="22" t="n">
        <x:f>G24*'Inputs'!$D$14</x:f>
        <x:v>1639.7930057142858</x:v>
      </x:c>
      <x:c r="H26" s="22" t="n">
        <x:f>H24*'Inputs'!$D$14</x:f>
        <x:v>1503.1435885714286</x:v>
      </x:c>
      <x:c r="I26" s="22" t="n">
        <x:f>I24*'Inputs'!$D$14</x:f>
        <x:v>1406.166582857143</x:v>
      </x:c>
      <x:c r="J26" s="22" t="n">
        <x:f>J24*'Inputs'!$D$14</x:f>
        <x:v>1434.8188800000003</x:v>
      </x:c>
      <x:c r="K26" s="22" t="n">
        <x:f>K24*'Inputs'!$D$14</x:f>
        <x:v>1256.2930285714283</x:v>
      </x:c>
      <x:c r="L26" s="22" t="n">
        <x:f>L24*'Inputs'!$D$14</x:f>
        <x:v>1229.8447542857143</x:v>
      </x:c>
      <x:c r="M26" s="22" t="n">
        <x:f>M24*'Inputs'!$D$14</x:f>
        <x:v>1124.051657142857</x:v>
      </x:c>
      <x:c r="N26" s="22" t="n">
        <x:f>N24*'Inputs'!$D$14</x:f>
        <x:v>1093.1953371428572</x:v>
      </x:c>
      <x:c r="O26" s="22" t="n">
        <x:f>O24*'Inputs'!$D$14</x:f>
        <x:v>1161.5200457142857</x:v>
      </x:c>
      <x:c r="P26" s="22" t="n">
        <x:f>P24*'Inputs'!$D$14</x:f>
        <x:v>1687.252114285714</x:v>
      </x:c>
      <x:c r="Q26" s="22" t="n">
        <x:f>Q24*'Inputs'!$D$14</x:f>
        <x:v>2018.7823542857145</x:v>
      </x:c>
      <x:c r="R26" s="22" t="n">
        <x:f>R24*'Inputs'!$D$14</x:f>
        <x:v>2042.4630857142859</x:v>
      </x:c>
      <x:c r="S26" s="22" t="n">
        <x:f>S24*'Inputs'!$D$14</x:f>
        <x:v>2202.308022857143</x:v>
      </x:c>
      <x:c r="T26" s="22" t="n">
        <x:f>T24*'Inputs'!$D$14</x:f>
        <x:v>2018.7823542857145</x:v>
      </x:c>
      <x:c r="U26" s="36" t="n">
        <x:f>U24*'Inputs'!$D$14</x:f>
        <x:v>1823.4163200000003</x:v>
      </x:c>
      <x:c r="V26" s="36" t="n">
        <x:f>V24*'Inputs'!$D$14</x:f>
        <x:v>1927.0195200000003</x:v>
      </x:c>
      <x:c r="W26" s="36" t="n">
        <x:f>W24*'Inputs'!$D$14</x:f>
        <x:v>1687.252114285714</x:v>
      </x:c>
      <x:c r="X26" s="36" t="n">
        <x:f>X24*'Inputs'!$D$14</x:f>
        <x:v>1651.7310171428574</x:v>
      </x:c>
      <x:c r="Y26" s="36" t="n">
        <x:f>Y24*'Inputs'!$D$14</x:f>
        <x:v>1509.6466285714284</x:v>
      </x:c>
      <x:c r="Z26" s="36" t="n">
        <x:f>Z24*'Inputs'!$D$14</x:f>
        <x:v>1468.2053485714284</x:v>
      </x:c>
      <x:c r="AA26" s="36" t="n">
        <x:f>AA24*'Inputs'!$D$14</x:f>
        <x:v>1559.9681828571431</x:v>
      </x:c>
      <x:c r="AB26" s="36" t="n">
        <x:f>AB24*'Inputs'!$D$14</x:f>
        <x:v>1968.9819428571427</x:v>
      </x:c>
      <x:c r="AC26" s="36" t="n">
        <x:f>AC24*'Inputs'!$D$14</x:f>
        <x:v>2355.869622857143</x:v>
      </x:c>
      <x:c r="AD26" s="36" t="n">
        <x:f>AD24*'Inputs'!$D$14</x:f>
        <x:v>2383.504457142857</x:v>
      </x:c>
      <x:c r="AE26" s="36" t="n">
        <x:f>AE24*'Inputs'!$D$14</x:f>
        <x:v>2505.2818285714284</x:v>
      </x:c>
      <x:c r="AF26" s="36" t="n">
        <x:f>AF24*'Inputs'!$D$14</x:f>
        <x:v>2355.869622857143</x:v>
      </x:c>
      <x:c r="AG26" s="36" t="n">
        <x:f>AG24*'Inputs'!$D$14</x:f>
        <x:v>2127.88224</x:v>
      </x:c>
      <x:c r="AH26" s="36" t="n">
        <x:f>AH24*'Inputs'!$D$14</x:f>
        <x:v>2248.7846400000003</x:v>
      </x:c>
      <x:c r="AI26" s="36" t="n">
        <x:f>AI24*'Inputs'!$D$14</x:f>
        <x:v>1968.9819428571427</x:v>
      </x:c>
      <x:c r="AJ26" s="36" t="n">
        <x:f>AJ24*'Inputs'!$D$14</x:f>
        <x:v>1927.5296914285714</x:v>
      </x:c>
      <x:c r="AK26" s="36" t="n">
        <x:f>AK24*'Inputs'!$D$14</x:f>
        <x:v>1761.7206857142855</x:v>
      </x:c>
      <x:c r="AL26" s="36" t="n">
        <x:f>AL24*'Inputs'!$D$14</x:f>
        <x:v>1713.3597257142858</x:v>
      </x:c>
      <x:c r="AM26" s="36" t="n">
        <x:f>AM24*'Inputs'!$D$14</x:f>
        <x:v>1820.4447085714285</x:v>
      </x:c>
      <x:c r="AN26" s="36" t="n">
        <x:f>AN24*'Inputs'!$D$14</x:f>
        <x:v>2030.6591999999998</x:v>
      </x:c>
      <x:c r="AO26" s="36" t="n">
        <x:f>AO24*'Inputs'!$D$14</x:f>
        <x:v>2429.6659200000004</x:v>
      </x:c>
      <x:c r="AP26" s="36" t="n">
        <x:f>AP24*'Inputs'!$D$14</x:f>
        <x:v>2428.6751999999997</x:v>
      </x:c>
      <x:c r="AQ26" s="36" t="n">
        <x:f>AQ24*'Inputs'!$D$14</x:f>
        <x:v>2540.0755200000003</x:v>
      </x:c>
      <x:c r="AR26" s="36" t="n">
        <x:f>AR24*'Inputs'!$D$14</x:f>
        <x:v>2429.6659200000004</x:v>
      </x:c>
      <x:c r="AS26" s="36" t="n">
        <x:f>AS24*'Inputs'!$D$14</x:f>
        <x:v>2194.53696</x:v>
      </x:c>
      <x:c r="AT26" s="36" t="n">
        <x:f>AT24*'Inputs'!$D$14</x:f>
        <x:v>2319.2265599999996</x:v>
      </x:c>
      <x:c r="AU26" s="36" t="n">
        <x:f>AU24*'Inputs'!$D$14</x:f>
        <x:v>2030.6591999999998</x:v>
      </x:c>
      <x:c r="AV26" s="36" t="n">
        <x:f>AV24*'Inputs'!$D$14</x:f>
        <x:v>1987.9084800000003</x:v>
      </x:c>
      <x:c r="AW26" s="36" t="n">
        <x:f>AW24*'Inputs'!$D$14</x:f>
        <x:v>1816.9055999999998</x:v>
      </x:c>
      <x:c r="AX26" s="36" t="n">
        <x:f>AX24*'Inputs'!$D$14</x:f>
        <x:v>1767.0297600000004</x:v>
      </x:c>
      <x:c r="AY26" s="36" t="n">
        <x:f>AY24*'Inputs'!$D$14</x:f>
        <x:v>1877.46912</x:v>
      </x:c>
      <x:c r="AZ26" s="36" t="n">
        <x:f>AZ24*'Inputs'!$D$14</x:f>
        <x:v>2092.3364571428574</x:v>
      </x:c>
      <x:c r="BA26" s="36" t="n">
        <x:f>BA24*'Inputs'!$D$14</x:f>
        <x:v>2503.4622171428573</x:v>
      </x:c>
      <x:c r="BB26" s="36" t="n">
        <x:f>BB24*'Inputs'!$D$14</x:f>
        <x:v>2460.943542857143</x:v>
      </x:c>
      <x:c r="BC26" s="36" t="n">
        <x:f>BC24*'Inputs'!$D$14</x:f>
        <x:v>2574.8692114285714</x:v>
      </x:c>
      <x:c r="BD26" s="36" t="n">
        <x:f>BD24*'Inputs'!$D$14</x:f>
        <x:v>2503.4622171428573</x:v>
      </x:c>
      <x:c r="BE26" s="36" t="n">
        <x:f>BE24*'Inputs'!$D$14</x:f>
        <x:v>2341.9485257142856</x:v>
      </x:c>
      <x:c r="BF26" s="36" t="n">
        <x:f>BF24*'Inputs'!$D$14</x:f>
        <x:v>2389.6684800000003</x:v>
      </x:c>
      <x:c r="BG26" s="36" t="n">
        <x:f>BG24*'Inputs'!$D$14</x:f>
        <x:v>2092.3364571428574</x:v>
      </x:c>
      <x:c r="BH26" s="36" t="n">
        <x:f>BH24*'Inputs'!$D$14</x:f>
        <x:v>2048.2872685714283</x:v>
      </x:c>
      <x:c r="BI26" s="36" t="n">
        <x:f>BI24*'Inputs'!$D$14</x:f>
        <x:v>1872.090514285714</x:v>
      </x:c>
      <x:c r="BJ26" s="36" t="n">
        <x:f>BJ24*'Inputs'!$D$14</x:f>
        <x:v>1820.6997942857145</x:v>
      </x:c>
      <x:c r="BK26" s="36" t="n">
        <x:f>BK24*'Inputs'!$D$14</x:f>
        <x:v>1934.4935314285715</x:v>
      </x:c>
    </x:row>
    <x:row r="27" ht="21" customHeight="1">
      <x:c r="A27" s="2"/>
      <x:c r="B27" s="2"/>
      <x:c r="C27" s="2" t="str">
        <x:v>Fixed operating expenses</x:v>
      </x:c>
      <x:c r="D27" s="22" t="n">
        <x:f>'Opening budget'!$E$51*(1+'Inputs'!$D$17)^(D7-1)</x:f>
        <x:v>48093.83333333333</x:v>
      </x:c>
      <x:c r="E27" s="22" t="n">
        <x:f>'Opening budget'!$E$51*(1+'Inputs'!$D$17)^(E7-1)</x:f>
        <x:v>48093.83333333333</x:v>
      </x:c>
      <x:c r="F27" s="22" t="n">
        <x:f>'Opening budget'!$E$51*(1+'Inputs'!$D$17)^(F7-1)</x:f>
        <x:v>48093.83333333333</x:v>
      </x:c>
      <x:c r="G27" s="22" t="n">
        <x:f>'Opening budget'!$E$51*(1+'Inputs'!$D$17)^(G7-1)</x:f>
        <x:v>48093.83333333333</x:v>
      </x:c>
      <x:c r="H27" s="22" t="n">
        <x:f>'Opening budget'!$E$51*(1+'Inputs'!$D$17)^(H7-1)</x:f>
        <x:v>48093.83333333333</x:v>
      </x:c>
      <x:c r="I27" s="22" t="n">
        <x:f>'Opening budget'!$E$51*(1+'Inputs'!$D$17)^(I7-1)</x:f>
        <x:v>48093.83333333333</x:v>
      </x:c>
      <x:c r="J27" s="22" t="n">
        <x:f>'Opening budget'!$E$51*(1+'Inputs'!$D$17)^(J7-1)</x:f>
        <x:v>48093.83333333333</x:v>
      </x:c>
      <x:c r="K27" s="22" t="n">
        <x:f>'Opening budget'!$E$51*(1+'Inputs'!$D$17)^(K7-1)</x:f>
        <x:v>48093.83333333333</x:v>
      </x:c>
      <x:c r="L27" s="22" t="n">
        <x:f>'Opening budget'!$E$51*(1+'Inputs'!$D$17)^(L7-1)</x:f>
        <x:v>48093.83333333333</x:v>
      </x:c>
      <x:c r="M27" s="22" t="n">
        <x:f>'Opening budget'!$E$51*(1+'Inputs'!$D$17)^(M7-1)</x:f>
        <x:v>48093.83333333333</x:v>
      </x:c>
      <x:c r="N27" s="22" t="n">
        <x:f>'Opening budget'!$E$51*(1+'Inputs'!$D$17)^(N7-1)</x:f>
        <x:v>48093.83333333333</x:v>
      </x:c>
      <x:c r="O27" s="22" t="n">
        <x:f>'Opening budget'!$E$51*(1+'Inputs'!$D$17)^(O7-1)</x:f>
        <x:v>48093.83333333333</x:v>
      </x:c>
      <x:c r="P27" s="22" t="n">
        <x:f>'Opening budget'!$E$51*(1+'Inputs'!$D$17)^(P7-1)</x:f>
        <x:v>49536.64833333333</x:v>
      </x:c>
      <x:c r="Q27" s="22" t="n">
        <x:f>'Opening budget'!$E$51*(1+'Inputs'!$D$17)^(Q7-1)</x:f>
        <x:v>49536.64833333333</x:v>
      </x:c>
      <x:c r="R27" s="22" t="n">
        <x:f>'Opening budget'!$E$51*(1+'Inputs'!$D$17)^(R7-1)</x:f>
        <x:v>49536.64833333333</x:v>
      </x:c>
      <x:c r="S27" s="22" t="n">
        <x:f>'Opening budget'!$E$51*(1+'Inputs'!$D$17)^(S7-1)</x:f>
        <x:v>49536.64833333333</x:v>
      </x:c>
      <x:c r="T27" s="22" t="n">
        <x:f>'Opening budget'!$E$51*(1+'Inputs'!$D$17)^(T7-1)</x:f>
        <x:v>49536.64833333333</x:v>
      </x:c>
      <x:c r="U27" s="36" t="n">
        <x:f>'Opening budget'!$E$51*(1+'Inputs'!$D$17)^(U7-1)</x:f>
        <x:v>49536.64833333333</x:v>
      </x:c>
      <x:c r="V27" s="36" t="n">
        <x:f>'Opening budget'!$E$51*(1+'Inputs'!$D$17)^(V7-1)</x:f>
        <x:v>49536.64833333333</x:v>
      </x:c>
      <x:c r="W27" s="36" t="n">
        <x:f>'Opening budget'!$E$51*(1+'Inputs'!$D$17)^(W7-1)</x:f>
        <x:v>49536.64833333333</x:v>
      </x:c>
      <x:c r="X27" s="36" t="n">
        <x:f>'Opening budget'!$E$51*(1+'Inputs'!$D$17)^(X7-1)</x:f>
        <x:v>49536.64833333333</x:v>
      </x:c>
      <x:c r="Y27" s="36" t="n">
        <x:f>'Opening budget'!$E$51*(1+'Inputs'!$D$17)^(Y7-1)</x:f>
        <x:v>49536.64833333333</x:v>
      </x:c>
      <x:c r="Z27" s="36" t="n">
        <x:f>'Opening budget'!$E$51*(1+'Inputs'!$D$17)^(Z7-1)</x:f>
        <x:v>49536.64833333333</x:v>
      </x:c>
      <x:c r="AA27" s="36" t="n">
        <x:f>'Opening budget'!$E$51*(1+'Inputs'!$D$17)^(AA7-1)</x:f>
        <x:v>49536.64833333333</x:v>
      </x:c>
      <x:c r="AB27" s="36" t="n">
        <x:f>'Opening budget'!$E$51*(1+'Inputs'!$D$17)^(AB7-1)</x:f>
        <x:v>51022.747783333325</x:v>
      </x:c>
      <x:c r="AC27" s="36" t="n">
        <x:f>'Opening budget'!$E$51*(1+'Inputs'!$D$17)^(AC7-1)</x:f>
        <x:v>51022.747783333325</x:v>
      </x:c>
      <x:c r="AD27" s="36" t="n">
        <x:f>'Opening budget'!$E$51*(1+'Inputs'!$D$17)^(AD7-1)</x:f>
        <x:v>51022.747783333325</x:v>
      </x:c>
      <x:c r="AE27" s="36" t="n">
        <x:f>'Opening budget'!$E$51*(1+'Inputs'!$D$17)^(AE7-1)</x:f>
        <x:v>51022.747783333325</x:v>
      </x:c>
      <x:c r="AF27" s="36" t="n">
        <x:f>'Opening budget'!$E$51*(1+'Inputs'!$D$17)^(AF7-1)</x:f>
        <x:v>51022.747783333325</x:v>
      </x:c>
      <x:c r="AG27" s="36" t="n">
        <x:f>'Opening budget'!$E$51*(1+'Inputs'!$D$17)^(AG7-1)</x:f>
        <x:v>51022.747783333325</x:v>
      </x:c>
      <x:c r="AH27" s="36" t="n">
        <x:f>'Opening budget'!$E$51*(1+'Inputs'!$D$17)^(AH7-1)</x:f>
        <x:v>51022.747783333325</x:v>
      </x:c>
      <x:c r="AI27" s="36" t="n">
        <x:f>'Opening budget'!$E$51*(1+'Inputs'!$D$17)^(AI7-1)</x:f>
        <x:v>51022.747783333325</x:v>
      </x:c>
      <x:c r="AJ27" s="36" t="n">
        <x:f>'Opening budget'!$E$51*(1+'Inputs'!$D$17)^(AJ7-1)</x:f>
        <x:v>51022.747783333325</x:v>
      </x:c>
      <x:c r="AK27" s="36" t="n">
        <x:f>'Opening budget'!$E$51*(1+'Inputs'!$D$17)^(AK7-1)</x:f>
        <x:v>51022.747783333325</x:v>
      </x:c>
      <x:c r="AL27" s="36" t="n">
        <x:f>'Opening budget'!$E$51*(1+'Inputs'!$D$17)^(AL7-1)</x:f>
        <x:v>51022.747783333325</x:v>
      </x:c>
      <x:c r="AM27" s="36" t="n">
        <x:f>'Opening budget'!$E$51*(1+'Inputs'!$D$17)^(AM7-1)</x:f>
        <x:v>51022.747783333325</x:v>
      </x:c>
      <x:c r="AN27" s="36" t="n">
        <x:f>'Opening budget'!$E$51*(1+'Inputs'!$D$17)^(AN7-1)</x:f>
        <x:v>52553.43021683333</x:v>
      </x:c>
      <x:c r="AO27" s="36" t="n">
        <x:f>'Opening budget'!$E$51*(1+'Inputs'!$D$17)^(AO7-1)</x:f>
        <x:v>52553.43021683333</x:v>
      </x:c>
      <x:c r="AP27" s="36" t="n">
        <x:f>'Opening budget'!$E$51*(1+'Inputs'!$D$17)^(AP7-1)</x:f>
        <x:v>52553.43021683333</x:v>
      </x:c>
      <x:c r="AQ27" s="36" t="n">
        <x:f>'Opening budget'!$E$51*(1+'Inputs'!$D$17)^(AQ7-1)</x:f>
        <x:v>52553.43021683333</x:v>
      </x:c>
      <x:c r="AR27" s="36" t="n">
        <x:f>'Opening budget'!$E$51*(1+'Inputs'!$D$17)^(AR7-1)</x:f>
        <x:v>52553.43021683333</x:v>
      </x:c>
      <x:c r="AS27" s="36" t="n">
        <x:f>'Opening budget'!$E$51*(1+'Inputs'!$D$17)^(AS7-1)</x:f>
        <x:v>52553.43021683333</x:v>
      </x:c>
      <x:c r="AT27" s="36" t="n">
        <x:f>'Opening budget'!$E$51*(1+'Inputs'!$D$17)^(AT7-1)</x:f>
        <x:v>52553.43021683333</x:v>
      </x:c>
      <x:c r="AU27" s="36" t="n">
        <x:f>'Opening budget'!$E$51*(1+'Inputs'!$D$17)^(AU7-1)</x:f>
        <x:v>52553.43021683333</x:v>
      </x:c>
      <x:c r="AV27" s="36" t="n">
        <x:f>'Opening budget'!$E$51*(1+'Inputs'!$D$17)^(AV7-1)</x:f>
        <x:v>52553.43021683333</x:v>
      </x:c>
      <x:c r="AW27" s="36" t="n">
        <x:f>'Opening budget'!$E$51*(1+'Inputs'!$D$17)^(AW7-1)</x:f>
        <x:v>52553.43021683333</x:v>
      </x:c>
      <x:c r="AX27" s="36" t="n">
        <x:f>'Opening budget'!$E$51*(1+'Inputs'!$D$17)^(AX7-1)</x:f>
        <x:v>52553.43021683333</x:v>
      </x:c>
      <x:c r="AY27" s="36" t="n">
        <x:f>'Opening budget'!$E$51*(1+'Inputs'!$D$17)^(AY7-1)</x:f>
        <x:v>52553.43021683333</x:v>
      </x:c>
      <x:c r="AZ27" s="36" t="n">
        <x:f>'Opening budget'!$E$51*(1+'Inputs'!$D$17)^(AZ7-1)</x:f>
        <x:v>54130.03312333833</x:v>
      </x:c>
      <x:c r="BA27" s="36" t="n">
        <x:f>'Opening budget'!$E$51*(1+'Inputs'!$D$17)^(BA7-1)</x:f>
        <x:v>54130.03312333833</x:v>
      </x:c>
      <x:c r="BB27" s="36" t="n">
        <x:f>'Opening budget'!$E$51*(1+'Inputs'!$D$17)^(BB7-1)</x:f>
        <x:v>54130.03312333833</x:v>
      </x:c>
      <x:c r="BC27" s="36" t="n">
        <x:f>'Opening budget'!$E$51*(1+'Inputs'!$D$17)^(BC7-1)</x:f>
        <x:v>54130.03312333833</x:v>
      </x:c>
      <x:c r="BD27" s="36" t="n">
        <x:f>'Opening budget'!$E$51*(1+'Inputs'!$D$17)^(BD7-1)</x:f>
        <x:v>54130.03312333833</x:v>
      </x:c>
      <x:c r="BE27" s="36" t="n">
        <x:f>'Opening budget'!$E$51*(1+'Inputs'!$D$17)^(BE7-1)</x:f>
        <x:v>54130.03312333833</x:v>
      </x:c>
      <x:c r="BF27" s="36" t="n">
        <x:f>'Opening budget'!$E$51*(1+'Inputs'!$D$17)^(BF7-1)</x:f>
        <x:v>54130.03312333833</x:v>
      </x:c>
      <x:c r="BG27" s="36" t="n">
        <x:f>'Opening budget'!$E$51*(1+'Inputs'!$D$17)^(BG7-1)</x:f>
        <x:v>54130.03312333833</x:v>
      </x:c>
      <x:c r="BH27" s="36" t="n">
        <x:f>'Opening budget'!$E$51*(1+'Inputs'!$D$17)^(BH7-1)</x:f>
        <x:v>54130.03312333833</x:v>
      </x:c>
      <x:c r="BI27" s="36" t="n">
        <x:f>'Opening budget'!$E$51*(1+'Inputs'!$D$17)^(BI7-1)</x:f>
        <x:v>54130.03312333833</x:v>
      </x:c>
      <x:c r="BJ27" s="36" t="n">
        <x:f>'Opening budget'!$E$51*(1+'Inputs'!$D$17)^(BJ7-1)</x:f>
        <x:v>54130.03312333833</x:v>
      </x:c>
      <x:c r="BK27" s="36" t="n">
        <x:f>'Opening budget'!$E$51*(1+'Inputs'!$D$17)^(BK7-1)</x:f>
        <x:v>54130.03312333833</x:v>
      </x:c>
    </x:row>
    <x:row r="28" ht="21" customHeight="1">
      <x:c r="A28" s="2"/>
      <x:c r="B28" s="2"/>
      <x:c r="C28" s="59" t="str">
        <x:v>Operating profit EBITDA</x:v>
      </x:c>
      <x:c r="D28" s="60" t="n">
        <x:f>D25-SUM(D26:D27)</x:f>
        <x:v>-9467.807994557828</x:v>
      </x:c>
      <x:c r="E28" s="60" t="n">
        <x:f>E25-SUM(E26:E27)</x:f>
        <x:v>-1878.1328402721047</x:v>
      </x:c>
      <x:c r="F28" s="60" t="n">
        <x:f>F25-SUM(F26:F27)</x:f>
        <x:v>-1336.0131863945571</x:v>
      </x:c>
      <x:c r="G28" s="60" t="n">
        <x:f>G25-SUM(G26:G27)</x:f>
        <x:v>2323.2944772789124</x:v>
      </x:c>
      <x:c r="H28" s="60" t="n">
        <x:f>H25-SUM(H26:H27)</x:f>
        <x:v>-1878.1328402721047</x:v>
      </x:c>
      <x:c r="I28" s="60" t="n">
        <x:f>I25-SUM(I26:I27)</x:f>
        <x:v>-4859.790936598627</x:v>
      </x:c>
      <x:c r="J28" s="60" t="n">
        <x:f>J25-SUM(J26:J27)</x:f>
        <x:v>-3978.846499047606</x:v>
      </x:c>
      <x:c r="K28" s="60" t="n">
        <x:f>K25-SUM(K26:K27)</x:f>
        <x:v>-9467.807994557828</x:v>
      </x:c>
      <x:c r="L28" s="60" t="n">
        <x:f>L25-SUM(L26:L27)</x:f>
        <x:v>-10280.987475374146</x:v>
      </x:c>
      <x:c r="M28" s="60" t="n">
        <x:f>M25-SUM(M26:M27)</x:f>
        <x:v>-13533.705398639453</x:v>
      </x:c>
      <x:c r="N28" s="60" t="n">
        <x:f>N25-SUM(N26:N27)</x:f>
        <x:v>-14482.414792925156</x:v>
      </x:c>
      <x:c r="O28" s="60" t="n">
        <x:f>O25-SUM(O26:O27)</x:f>
        <x:v>-12381.701134149655</x:v>
      </x:c>
      <x:c r="P28" s="60" t="n">
        <x:f>P25-SUM(P26:P27)</x:f>
        <x:v>2339.6587360544145</x:v>
      </x:c>
      <x:c r="Q28" s="60" t="n">
        <x:f>Q25-SUM(Q26:Q27)</x:f>
        <x:v>12532.898019863955</x:v>
      </x:c>
      <x:c r="R28" s="60" t="n">
        <x:f>R25-SUM(R26:R27)</x:f>
        <x:v>13260.986540136058</x:v>
      </x:c>
      <x:c r="S28" s="60" t="n">
        <x:f>S25-SUM(S26:S27)</x:f>
        <x:v>18175.584051972786</x:v>
      </x:c>
      <x:c r="T28" s="60" t="n">
        <x:f>T25-SUM(T26:T27)</x:f>
        <x:v>12532.898019863955</x:v>
      </x:c>
      <x:c r="U28" s="64" t="n">
        <x:f>U25-SUM(U26:U27)</x:f>
        <x:v>6526.167727619053</x:v>
      </x:c>
      <x:c r="V28" s="64" t="n">
        <x:f>V25-SUM(V26:V27)</x:f>
        <x:v>9711.555003809532</x:v>
      </x:c>
      <x:c r="W28" s="64" t="n">
        <x:f>W25-SUM(W26:W27)</x:f>
        <x:v>2339.6587360544145</x:v>
      </x:c>
      <x:c r="X28" s="64" t="n">
        <x:f>X25-SUM(X26:X27)</x:f>
        <x:v>1247.5259556462697</x:v>
      </x:c>
      <x:c r="Y28" s="64" t="n">
        <x:f>Y25-SUM(Y26:Y27)</x:f>
        <x:v>-3121.0051659863893</x:v>
      </x:c>
      <x:c r="Z28" s="64" t="n">
        <x:f>Z25-SUM(Z26:Z27)</x:f>
        <x:v>-4395.160076462584</x:v>
      </x:c>
      <x:c r="AA28" s="64" t="n">
        <x:f>AA25-SUM(AA26:AA27)</x:f>
        <x:v>-1573.8170604081533</x:v>
      </x:c>
      <x:c r="AB28" s="64" t="n">
        <x:f>AB25-SUM(AB26:AB27)</x:f>
        <x:v>9515.633539115646</x:v>
      </x:c>
      <x:c r="AC28" s="64" t="n">
        <x:f>AC25-SUM(AC26:AC27)</x:f>
        <x:v>21410.89443054422</x:v>
      </x:c>
      <x:c r="AD28" s="64" t="n">
        <x:f>AD25-SUM(AD26:AD27)</x:f>
        <x:v>22260.55592278912</x:v>
      </x:c>
      <x:c r="AE28" s="64" t="n">
        <x:f>AE25-SUM(AE26:AE27)</x:f>
        <x:v>26004.726850680265</x:v>
      </x:c>
      <x:c r="AF28" s="64" t="n">
        <x:f>AF25-SUM(AF26:AF27)</x:f>
        <x:v>21410.89443054422</x:v>
      </x:c>
      <x:c r="AG28" s="64" t="n">
        <x:f>AG25-SUM(AG26:AG27)</x:f>
        <x:v>14401.187119523813</x:v>
      </x:c>
      <x:c r="AH28" s="64" t="n">
        <x:f>AH25-SUM(AH26:AH27)</x:f>
        <x:v>18118.456148095254</x:v>
      </x:c>
      <x:c r="AI28" s="64" t="n">
        <x:f>AI25-SUM(AI26:AI27)</x:f>
        <x:v>9515.633539115646</x:v>
      </x:c>
      <x:c r="AJ28" s="64" t="n">
        <x:f>AJ25-SUM(AJ26:AJ27)</x:f>
        <x:v>8241.141300748306</x:v>
      </x:c>
      <x:c r="AK28" s="64" t="n">
        <x:f>AK25-SUM(AK26:AK27)</x:f>
        <x:v>3143.172347278909</x:v>
      </x:c>
      <x:c r="AL28" s="64" t="n">
        <x:f>AL25-SUM(AL26:AL27)</x:f>
        <x:v>1656.2647358503527</x:v>
      </x:c>
      <x:c r="AM28" s="64" t="n">
        <x:f>AM25-SUM(AM26:AM27)</x:f>
        <x:v>4948.703018299326</x:v>
      </x:c>
      <x:c r="AN28" s="64" t="n">
        <x:f>AN25-SUM(AN26:AN27)</x:f>
        <x:v>9881.28201173809</x:v>
      </x:c>
      <x:c r="AO28" s="64" t="n">
        <x:f>AO25-SUM(AO26:AO27)</x:f>
        <x:v>22149.155291738112</x:v>
      </x:c>
      <x:c r="AP28" s="64" t="n">
        <x:f>AP25-SUM(AP26:AP27)</x:f>
        <x:v>22118.69458316666</x:v>
      </x:c>
      <x:c r="AQ28" s="64" t="n">
        <x:f>AQ25-SUM(AQ26:AQ27)</x:f>
        <x:v>25543.812358404764</x:v>
      </x:c>
      <x:c r="AR28" s="64" t="n">
        <x:f>AR25-SUM(AR26:AR27)</x:f>
        <x:v>22149.155291738112</x:v>
      </x:c>
      <x:c r="AS28" s="64" t="n">
        <x:f>AS25-SUM(AS26:AS27)</x:f>
        <x:v>14919.872823166668</x:v>
      </x:c>
      <x:c r="AT28" s="64" t="n">
        <x:f>AT25-SUM(AT26:AT27)</x:f>
        <x:v>18753.583223166657</x:v>
      </x:c>
      <x:c r="AU28" s="64" t="n">
        <x:f>AU25-SUM(AU26:AU27)</x:f>
        <x:v>9881.28201173809</x:v>
      </x:c>
      <x:c r="AV28" s="64" t="n">
        <x:f>AV25-SUM(AV26:AV27)</x:f>
        <x:v>8566.867017452394</x:v>
      </x:c>
      <x:c r="AW28" s="64" t="n">
        <x:f>AW25-SUM(AW26:AW27)</x:f>
        <x:v>3309.2070403095204</x:v>
      </x:c>
      <x:c r="AX28" s="64" t="n">
        <x:f>AX25-SUM(AX26:AX27)</x:f>
        <x:v>1775.7228803095422</x:v>
      </x:c>
      <x:c r="AY28" s="64" t="n">
        <x:f>AY25-SUM(AY26:AY27)</x:f>
        <x:v>5171.294948880954</x:v>
      </x:c>
      <x:c r="AZ28" s="64" t="n">
        <x:f>AZ25-SUM(AZ26:AZ27)</x:f>
        <x:v>10201.010011355553</x:v>
      </x:c>
      <x:c r="BA28" s="64" t="n">
        <x:f>BA25-SUM(BA26:BA27)</x:f>
        <x:v>22841.49567992698</x:v>
      </x:c>
      <x:c r="BB28" s="64" t="n">
        <x:f>BB25-SUM(BB26:BB27)</x:f>
        <x:v>21534.215170539203</x:v>
      </x:c>
      <x:c r="BC28" s="64" t="n">
        <x:f>BC25-SUM(BC26:BC27)</x:f>
        <x:v>25036.977393124245</x:v>
      </x:c>
      <x:c r="BD28" s="64" t="n">
        <x:f>BD25-SUM(BD26:BD27)</x:f>
        <x:v>22841.49567992698</x:v>
      </x:c>
      <x:c r="BE28" s="64" t="n">
        <x:f>BE25-SUM(BE26:BE27)</x:f>
        <x:v>17875.590595845344</x:v>
      </x:c>
      <x:c r="BF28" s="64" t="n">
        <x:f>BF25-SUM(BF26:BF27)</x:f>
        <x:v>19342.7898252331</x:v>
      </x:c>
      <x:c r="BG28" s="64" t="n">
        <x:f>BG25-SUM(BG26:BG27)</x:f>
        <x:v>10201.010011355553</x:v>
      </x:c>
      <x:c r="BH28" s="64" t="n">
        <x:f>BH25-SUM(BH26:BH27)</x:f>
        <x:v>8846.672261151456</x:v>
      </x:c>
      <x:c r="BI28" s="64" t="n">
        <x:f>BI25-SUM(BI26:BI27)</x:f>
        <x:v>3429.3212603351276</x:v>
      </x:c>
      <x:c r="BJ28" s="64" t="n">
        <x:f>BJ25-SUM(BJ26:BJ27)</x:f>
        <x:v>1849.260551763713</x:v>
      </x:c>
      <x:c r="BK28" s="64" t="n">
        <x:f>BK25-SUM(BK26:BK27)</x:f>
        <x:v>5347.966406457592</x:v>
      </x:c>
    </x:row>
    <x:row r="29" ht="21" customHeight="1">
      <x:c r="A29" s="2"/>
      <x:c r="B29" s="2"/>
      <x:c r="C29" s="2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4"/>
      <x:c r="V29" s="34"/>
      <x:c r="W29" s="34"/>
      <x:c r="X29" s="34"/>
      <x:c r="Y29" s="34"/>
      <x:c r="Z29" s="34"/>
      <x:c r="AA29" s="34"/>
      <x:c r="AB29" s="34"/>
      <x:c r="AC29" s="34"/>
      <x:c r="AD29" s="34"/>
      <x:c r="AE29" s="34"/>
      <x:c r="AF29" s="34"/>
      <x:c r="AG29" s="34"/>
      <x:c r="AH29" s="34"/>
      <x:c r="AI29" s="34"/>
      <x:c r="AJ29" s="34"/>
      <x:c r="AK29" s="34"/>
      <x:c r="AL29" s="34"/>
      <x:c r="AM29" s="34"/>
      <x:c r="AN29" s="34"/>
      <x:c r="AO29" s="34"/>
      <x:c r="AP29" s="34"/>
      <x:c r="AQ29" s="34"/>
      <x:c r="AR29" s="34"/>
      <x:c r="AS29" s="34"/>
      <x:c r="AT29" s="34"/>
      <x:c r="AU29" s="34"/>
      <x:c r="AV29" s="34"/>
      <x:c r="AW29" s="34"/>
      <x:c r="AX29" s="34"/>
      <x:c r="AY29" s="34"/>
      <x:c r="AZ29" s="34"/>
      <x:c r="BA29" s="34"/>
      <x:c r="BB29" s="34"/>
      <x:c r="BC29" s="34"/>
      <x:c r="BD29" s="34"/>
      <x:c r="BE29" s="34"/>
      <x:c r="BF29" s="34"/>
      <x:c r="BG29" s="34"/>
      <x:c r="BH29" s="34"/>
      <x:c r="BI29" s="34"/>
      <x:c r="BJ29" s="34"/>
      <x:c r="BK29" s="34"/>
    </x:row>
    <x:row r="30" ht="21" customHeight="1">
      <x:c r="A30" s="2"/>
      <x:c r="B30" s="2"/>
      <x:c r="C30" s="2" t="str">
        <x:v>Cash tax allowance</x:v>
      </x:c>
      <x:c r="D30" s="22" t="n">
        <x:f>MAX(0,D28)*'Inputs'!$D$15</x:f>
        <x:v>0</x:v>
      </x:c>
      <x:c r="E30" s="22" t="n">
        <x:f>MAX(0,E28)*'Inputs'!$D$15</x:f>
        <x:v>0</x:v>
      </x:c>
      <x:c r="F30" s="22" t="n">
        <x:f>MAX(0,F28)*'Inputs'!$D$15</x:f>
        <x:v>0</x:v>
      </x:c>
      <x:c r="G30" s="22" t="n">
        <x:f>MAX(0,G28)*'Inputs'!$D$15</x:f>
        <x:v>627.2895088653064</x:v>
      </x:c>
      <x:c r="H30" s="22" t="n">
        <x:f>MAX(0,H28)*'Inputs'!$D$15</x:f>
        <x:v>0</x:v>
      </x:c>
      <x:c r="I30" s="22" t="n">
        <x:f>MAX(0,I28)*'Inputs'!$D$15</x:f>
        <x:v>0</x:v>
      </x:c>
      <x:c r="J30" s="22" t="n">
        <x:f>MAX(0,J28)*'Inputs'!$D$15</x:f>
        <x:v>0</x:v>
      </x:c>
      <x:c r="K30" s="22" t="n">
        <x:f>MAX(0,K28)*'Inputs'!$D$15</x:f>
        <x:v>0</x:v>
      </x:c>
      <x:c r="L30" s="22" t="n">
        <x:f>MAX(0,L28)*'Inputs'!$D$15</x:f>
        <x:v>0</x:v>
      </x:c>
      <x:c r="M30" s="22" t="n">
        <x:f>MAX(0,M28)*'Inputs'!$D$15</x:f>
        <x:v>0</x:v>
      </x:c>
      <x:c r="N30" s="22" t="n">
        <x:f>MAX(0,N28)*'Inputs'!$D$15</x:f>
        <x:v>0</x:v>
      </x:c>
      <x:c r="O30" s="22" t="n">
        <x:f>MAX(0,O28)*'Inputs'!$D$15</x:f>
        <x:v>0</x:v>
      </x:c>
      <x:c r="P30" s="22" t="n">
        <x:f>MAX(0,P28)*'Inputs'!$D$15</x:f>
        <x:v>631.707858734692</x:v>
      </x:c>
      <x:c r="Q30" s="22" t="n">
        <x:f>MAX(0,Q28)*'Inputs'!$D$15</x:f>
        <x:v>3383.882465363268</x:v>
      </x:c>
      <x:c r="R30" s="22" t="n">
        <x:f>MAX(0,R28)*'Inputs'!$D$15</x:f>
        <x:v>3580.466365836736</x:v>
      </x:c>
      <x:c r="S30" s="22" t="n">
        <x:f>MAX(0,S28)*'Inputs'!$D$15</x:f>
        <x:v>4907.407694032652</x:v>
      </x:c>
      <x:c r="T30" s="22" t="n">
        <x:f>MAX(0,T28)*'Inputs'!$D$15</x:f>
        <x:v>3383.882465363268</x:v>
      </x:c>
      <x:c r="U30" s="36" t="n">
        <x:f>MAX(0,U28)*'Inputs'!$D$15</x:f>
        <x:v>1762.0652864571443</x:v>
      </x:c>
      <x:c r="V30" s="36" t="n">
        <x:f>MAX(0,V28)*'Inputs'!$D$15</x:f>
        <x:v>2622.1198510285735</x:v>
      </x:c>
      <x:c r="W30" s="36" t="n">
        <x:f>MAX(0,W28)*'Inputs'!$D$15</x:f>
        <x:v>631.707858734692</x:v>
      </x:c>
      <x:c r="X30" s="36" t="n">
        <x:f>MAX(0,X28)*'Inputs'!$D$15</x:f>
        <x:v>336.83200802449284</x:v>
      </x:c>
      <x:c r="Y30" s="36" t="n">
        <x:f>MAX(0,Y28)*'Inputs'!$D$15</x:f>
        <x:v>0</x:v>
      </x:c>
      <x:c r="Z30" s="36" t="n">
        <x:f>MAX(0,Z28)*'Inputs'!$D$15</x:f>
        <x:v>0</x:v>
      </x:c>
      <x:c r="AA30" s="36" t="n">
        <x:f>MAX(0,AA28)*'Inputs'!$D$15</x:f>
        <x:v>0</x:v>
      </x:c>
      <x:c r="AB30" s="36" t="n">
        <x:f>MAX(0,AB28)*'Inputs'!$D$15</x:f>
        <x:v>2569.2210555612246</x:v>
      </x:c>
      <x:c r="AC30" s="36" t="n">
        <x:f>MAX(0,AC28)*'Inputs'!$D$15</x:f>
        <x:v>5780.94149624694</x:v>
      </x:c>
      <x:c r="AD30" s="36" t="n">
        <x:f>MAX(0,AD28)*'Inputs'!$D$15</x:f>
        <x:v>6010.350099153063</x:v>
      </x:c>
      <x:c r="AE30" s="36" t="n">
        <x:f>MAX(0,AE28)*'Inputs'!$D$15</x:f>
        <x:v>7021.276249683672</x:v>
      </x:c>
      <x:c r="AF30" s="36" t="n">
        <x:f>MAX(0,AF28)*'Inputs'!$D$15</x:f>
        <x:v>5780.94149624694</x:v>
      </x:c>
      <x:c r="AG30" s="36" t="n">
        <x:f>MAX(0,AG28)*'Inputs'!$D$15</x:f>
        <x:v>3888.3205222714296</x:v>
      </x:c>
      <x:c r="AH30" s="36" t="n">
        <x:f>MAX(0,AH28)*'Inputs'!$D$15</x:f>
        <x:v>4891.983159985719</x:v>
      </x:c>
      <x:c r="AI30" s="36" t="n">
        <x:f>MAX(0,AI28)*'Inputs'!$D$15</x:f>
        <x:v>2569.2210555612246</x:v>
      </x:c>
      <x:c r="AJ30" s="36" t="n">
        <x:f>MAX(0,AJ28)*'Inputs'!$D$15</x:f>
        <x:v>2225.108151202043</x:v>
      </x:c>
      <x:c r="AK30" s="36" t="n">
        <x:f>MAX(0,AK28)*'Inputs'!$D$15</x:f>
        <x:v>848.6565337653055</x:v>
      </x:c>
      <x:c r="AL30" s="36" t="n">
        <x:f>MAX(0,AL28)*'Inputs'!$D$15</x:f>
        <x:v>447.19147867959526</x:v>
      </x:c>
      <x:c r="AM30" s="36" t="n">
        <x:f>MAX(0,AM28)*'Inputs'!$D$15</x:f>
        <x:v>1336.149814940818</x:v>
      </x:c>
      <x:c r="AN30" s="36" t="n">
        <x:f>MAX(0,AN28)*'Inputs'!$D$15</x:f>
        <x:v>2667.946143169285</x:v>
      </x:c>
      <x:c r="AO30" s="36" t="n">
        <x:f>MAX(0,AO28)*'Inputs'!$D$15</x:f>
        <x:v>5980.271928769291</x:v>
      </x:c>
      <x:c r="AP30" s="36" t="n">
        <x:f>MAX(0,AP28)*'Inputs'!$D$15</x:f>
        <x:v>5972.047537454999</x:v>
      </x:c>
      <x:c r="AQ30" s="36" t="n">
        <x:f>MAX(0,AQ28)*'Inputs'!$D$15</x:f>
        <x:v>6896.829336769287</x:v>
      </x:c>
      <x:c r="AR30" s="36" t="n">
        <x:f>MAX(0,AR28)*'Inputs'!$D$15</x:f>
        <x:v>5980.271928769291</x:v>
      </x:c>
      <x:c r="AS30" s="36" t="n">
        <x:f>MAX(0,AS28)*'Inputs'!$D$15</x:f>
        <x:v>4028.3656622550006</x:v>
      </x:c>
      <x:c r="AT30" s="36" t="n">
        <x:f>MAX(0,AT28)*'Inputs'!$D$15</x:f>
        <x:v>5063.467470254997</x:v>
      </x:c>
      <x:c r="AU30" s="36" t="n">
        <x:f>MAX(0,AU28)*'Inputs'!$D$15</x:f>
        <x:v>2667.946143169285</x:v>
      </x:c>
      <x:c r="AV30" s="36" t="n">
        <x:f>MAX(0,AV28)*'Inputs'!$D$15</x:f>
        <x:v>2313.0540947121467</x:v>
      </x:c>
      <x:c r="AW30" s="36" t="n">
        <x:f>MAX(0,AW28)*'Inputs'!$D$15</x:f>
        <x:v>893.4859008835706</x:v>
      </x:c>
      <x:c r="AX30" s="36" t="n">
        <x:f>MAX(0,AX28)*'Inputs'!$D$15</x:f>
        <x:v>479.44517768357645</x:v>
      </x:c>
      <x:c r="AY30" s="36" t="n">
        <x:f>MAX(0,AY28)*'Inputs'!$D$15</x:f>
        <x:v>1396.2496361978576</x:v>
      </x:c>
      <x:c r="AZ30" s="36" t="n">
        <x:f>MAX(0,AZ28)*'Inputs'!$D$15</x:f>
        <x:v>2754.2727030659994</x:v>
      </x:c>
      <x:c r="BA30" s="36" t="n">
        <x:f>MAX(0,BA28)*'Inputs'!$D$15</x:f>
        <x:v>6167.2038335802845</x:v>
      </x:c>
      <x:c r="BB30" s="36" t="n">
        <x:f>MAX(0,BB28)*'Inputs'!$D$15</x:f>
        <x:v>5814.238096045585</x:v>
      </x:c>
      <x:c r="BC30" s="36" t="n">
        <x:f>MAX(0,BC28)*'Inputs'!$D$15</x:f>
        <x:v>6759.983896143547</x:v>
      </x:c>
      <x:c r="BD30" s="36" t="n">
        <x:f>MAX(0,BD28)*'Inputs'!$D$15</x:f>
        <x:v>6167.2038335802845</x:v>
      </x:c>
      <x:c r="BE30" s="36" t="n">
        <x:f>MAX(0,BE28)*'Inputs'!$D$15</x:f>
        <x:v>4826.409460878243</x:v>
      </x:c>
      <x:c r="BF30" s="36" t="n">
        <x:f>MAX(0,BF28)*'Inputs'!$D$15</x:f>
        <x:v>5222.553252812937</x:v>
      </x:c>
      <x:c r="BG30" s="36" t="n">
        <x:f>MAX(0,BG28)*'Inputs'!$D$15</x:f>
        <x:v>2754.2727030659994</x:v>
      </x:c>
      <x:c r="BH30" s="36" t="n">
        <x:f>MAX(0,BH28)*'Inputs'!$D$15</x:f>
        <x:v>2388.601510510893</x:v>
      </x:c>
      <x:c r="BI30" s="36" t="n">
        <x:f>MAX(0,BI28)*'Inputs'!$D$15</x:f>
        <x:v>925.9167402904845</x:v>
      </x:c>
      <x:c r="BJ30" s="36" t="n">
        <x:f>MAX(0,BJ28)*'Inputs'!$D$15</x:f>
        <x:v>499.30034897620254</x:v>
      </x:c>
      <x:c r="BK30" s="36" t="n">
        <x:f>MAX(0,BK28)*'Inputs'!$D$15</x:f>
        <x:v>1443.95092974355</x:v>
      </x:c>
    </x:row>
    <x:row r="31" ht="21" customHeight="1">
      <x:c r="A31" s="2"/>
      <x:c r="B31" s="2"/>
      <x:c r="C31" s="2" t="str">
        <x:v>Maintenance capital expenditure</x:v>
      </x:c>
      <x:c r="D31" s="22" t="n">
        <x:f>D25*'Inputs'!$D$16</x:f>
        <x:v>797.6463673469385</x:v>
      </x:c>
      <x:c r="E31" s="22" t="n">
        <x:f>E25*'Inputs'!$D$16</x:f>
        <x:v>954.3768816326531</x:v>
      </x:c>
      <x:c r="F31" s="22" t="n">
        <x:f>F25*'Inputs'!$D$16</x:f>
        <x:v>965.5719183673468</x:v>
      </x:c>
      <x:c r="G31" s="22" t="n">
        <x:f>G25*'Inputs'!$D$16</x:f>
        <x:v>1041.1384163265307</x:v>
      </x:c>
      <x:c r="H31" s="22" t="n">
        <x:f>H25*'Inputs'!$D$16</x:f>
        <x:v>954.3768816326531</x:v>
      </x:c>
      <x:c r="I31" s="22" t="n">
        <x:f>I25*'Inputs'!$D$16</x:f>
        <x:v>892.8041795918369</x:v>
      </x:c>
      <x:c r="J31" s="22" t="n">
        <x:f>J25*'Inputs'!$D$16</x:f>
        <x:v>910.9961142857145</x:v>
      </x:c>
      <x:c r="K31" s="22" t="n">
        <x:f>K25*'Inputs'!$D$16</x:f>
        <x:v>797.6463673469385</x:v>
      </x:c>
      <x:c r="L31" s="22" t="n">
        <x:f>L25*'Inputs'!$D$16</x:f>
        <x:v>780.853812244898</x:v>
      </x:c>
      <x:c r="M31" s="22" t="n">
        <x:f>M25*'Inputs'!$D$16</x:f>
        <x:v>713.6835918367348</x:v>
      </x:c>
      <x:c r="N31" s="22" t="n">
        <x:f>N25*'Inputs'!$D$16</x:f>
        <x:v>694.0922775510205</x:v>
      </x:c>
      <x:c r="O31" s="22" t="n">
        <x:f>O25*'Inputs'!$D$16</x:f>
        <x:v>737.4730448979592</x:v>
      </x:c>
      <x:c r="P31" s="22" t="n">
        <x:f>P25*'Inputs'!$D$16</x:f>
        <x:v>1071.2711836734693</x:v>
      </x:c>
      <x:c r="Q31" s="22" t="n">
        <x:f>Q25*'Inputs'!$D$16</x:f>
        <x:v>1281.76657414966</x:v>
      </x:c>
      <x:c r="R31" s="22" t="n">
        <x:f>R25*'Inputs'!$D$16</x:f>
        <x:v>1296.8019591836735</x:v>
      </x:c>
      <x:c r="S31" s="22" t="n">
        <x:f>S25*'Inputs'!$D$16</x:f>
        <x:v>1398.2908081632652</x:v>
      </x:c>
      <x:c r="T31" s="22" t="n">
        <x:f>T25*'Inputs'!$D$16</x:f>
        <x:v>1281.76657414966</x:v>
      </x:c>
      <x:c r="U31" s="36" t="n">
        <x:f>U25*'Inputs'!$D$16</x:f>
        <x:v>1157.7246476190478</x:v>
      </x:c>
      <x:c r="V31" s="36" t="n">
        <x:f>V25*'Inputs'!$D$16</x:f>
        <x:v>1223.5044571428573</x:v>
      </x:c>
      <x:c r="W31" s="36" t="n">
        <x:f>W25*'Inputs'!$D$16</x:f>
        <x:v>1071.2711836734693</x:v>
      </x:c>
      <x:c r="X31" s="36" t="n">
        <x:f>X25*'Inputs'!$D$16</x:f>
        <x:v>1048.7181061224492</x:v>
      </x:c>
      <x:c r="Y31" s="36" t="n">
        <x:f>Y25*'Inputs'!$D$16</x:f>
        <x:v>958.5057959183674</x:v>
      </x:c>
      <x:c r="Z31" s="36" t="n">
        <x:f>Z25*'Inputs'!$D$16</x:f>
        <x:v>932.1938721088435</x:v>
      </x:c>
      <x:c r="AA31" s="36" t="n">
        <x:f>AA25*'Inputs'!$D$16</x:f>
        <x:v>990.4559891156464</x:v>
      </x:c>
      <x:c r="AB31" s="36" t="n">
        <x:f>AB25*'Inputs'!$D$16</x:f>
        <x:v>1250.1472653061223</x:v>
      </x:c>
      <x:c r="AC31" s="36" t="n">
        <x:f>AC25*'Inputs'!$D$16</x:f>
        <x:v>1495.7902367346937</x:v>
      </x:c>
      <x:c r="AD31" s="36" t="n">
        <x:f>AD25*'Inputs'!$D$16</x:f>
        <x:v>1513.3361632653061</x:v>
      </x:c>
      <x:c r="AE31" s="36" t="n">
        <x:f>AE25*'Inputs'!$D$16</x:f>
        <x:v>1590.6551292517004</x:v>
      </x:c>
      <x:c r="AF31" s="36" t="n">
        <x:f>AF25*'Inputs'!$D$16</x:f>
        <x:v>1495.7902367346937</x:v>
      </x:c>
      <x:c r="AG31" s="36" t="n">
        <x:f>AG25*'Inputs'!$D$16</x:f>
        <x:v>1351.0363428571427</x:v>
      </x:c>
      <x:c r="AH31" s="36" t="n">
        <x:f>AH25*'Inputs'!$D$16</x:f>
        <x:v>1427.7997714285716</x:v>
      </x:c>
      <x:c r="AI31" s="36" t="n">
        <x:f>AI25*'Inputs'!$D$16</x:f>
        <x:v>1250.1472653061223</x:v>
      </x:c>
      <x:c r="AJ31" s="36" t="n">
        <x:f>AJ25*'Inputs'!$D$16</x:f>
        <x:v>1223.828375510204</x:v>
      </x:c>
      <x:c r="AK31" s="36" t="n">
        <x:f>AK25*'Inputs'!$D$16</x:f>
        <x:v>1118.5528163265305</x:v>
      </x:c>
      <x:c r="AL31" s="36" t="n">
        <x:f>AL25*'Inputs'!$D$16</x:f>
        <x:v>1087.8474448979591</x:v>
      </x:c>
      <x:c r="AM31" s="36" t="n">
        <x:f>AM25*'Inputs'!$D$16</x:f>
        <x:v>1155.8379102040815</x:v>
      </x:c>
      <x:c r="AN31" s="36" t="n">
        <x:f>AN25*'Inputs'!$D$16</x:f>
        <x:v>1289.3074285714285</x:v>
      </x:c>
      <x:c r="AO31" s="36" t="n">
        <x:f>AO25*'Inputs'!$D$16</x:f>
        <x:v>1542.6450285714288</x:v>
      </x:c>
      <x:c r="AP31" s="36" t="n">
        <x:f>AP25*'Inputs'!$D$16</x:f>
        <x:v>1542.0159999999998</x:v>
      </x:c>
      <x:c r="AQ31" s="36" t="n">
        <x:f>AQ25*'Inputs'!$D$16</x:f>
        <x:v>1612.746361904762</x:v>
      </x:c>
      <x:c r="AR31" s="36" t="n">
        <x:f>AR25*'Inputs'!$D$16</x:f>
        <x:v>1542.6450285714288</x:v>
      </x:c>
      <x:c r="AS31" s="36" t="n">
        <x:f>AS25*'Inputs'!$D$16</x:f>
        <x:v>1393.3568</x:v>
      </x:c>
      <x:c r="AT31" s="36" t="n">
        <x:f>AT25*'Inputs'!$D$16</x:f>
        <x:v>1472.5248</x:v>
      </x:c>
      <x:c r="AU31" s="36" t="n">
        <x:f>AU25*'Inputs'!$D$16</x:f>
        <x:v>1289.3074285714285</x:v>
      </x:c>
      <x:c r="AV31" s="36" t="n">
        <x:f>AV25*'Inputs'!$D$16</x:f>
        <x:v>1262.1641142857145</x:v>
      </x:c>
      <x:c r="AW31" s="36" t="n">
        <x:f>AW25*'Inputs'!$D$16</x:f>
        <x:v>1153.590857142857</x:v>
      </x:c>
      <x:c r="AX31" s="36" t="n">
        <x:f>AX25*'Inputs'!$D$16</x:f>
        <x:v>1121.9236571428573</x:v>
      </x:c>
      <x:c r="AY31" s="36" t="n">
        <x:f>AY25*'Inputs'!$D$16</x:f>
        <x:v>1192.0438857142858</x:v>
      </x:c>
      <x:c r="AZ31" s="36" t="n">
        <x:f>AZ25*'Inputs'!$D$16</x:f>
        <x:v>1328.4675918367348</x:v>
      </x:c>
      <x:c r="BA31" s="36" t="n">
        <x:f>BA25*'Inputs'!$D$16</x:f>
        <x:v>1589.4998204081635</x:v>
      </x:c>
      <x:c r="BB31" s="36" t="n">
        <x:f>BB25*'Inputs'!$D$16</x:f>
        <x:v>1562.5038367346936</x:v>
      </x:c>
      <x:c r="BC31" s="36" t="n">
        <x:f>BC25*'Inputs'!$D$16</x:f>
        <x:v>1634.837594557823</x:v>
      </x:c>
      <x:c r="BD31" s="36" t="n">
        <x:f>BD25*'Inputs'!$D$16</x:f>
        <x:v>1589.4998204081635</x:v>
      </x:c>
      <x:c r="BE31" s="36" t="n">
        <x:f>BE25*'Inputs'!$D$16</x:f>
        <x:v>1486.9514448979594</x:v>
      </x:c>
      <x:c r="BF31" s="36" t="n">
        <x:f>BF25*'Inputs'!$D$16</x:f>
        <x:v>1517.2498285714287</x:v>
      </x:c>
      <x:c r="BG31" s="36" t="n">
        <x:f>BG25*'Inputs'!$D$16</x:f>
        <x:v>1328.4675918367348</x:v>
      </x:c>
      <x:c r="BH31" s="36" t="n">
        <x:f>BH25*'Inputs'!$D$16</x:f>
        <x:v>1300.4998530612243</x:v>
      </x:c>
      <x:c r="BI31" s="36" t="n">
        <x:f>BI25*'Inputs'!$D$16</x:f>
        <x:v>1188.6288979591836</x:v>
      </x:c>
      <x:c r="BJ31" s="36" t="n">
        <x:f>BJ25*'Inputs'!$D$16</x:f>
        <x:v>1155.999869387755</x:v>
      </x:c>
      <x:c r="BK31" s="36" t="n">
        <x:f>BK25*'Inputs'!$D$16</x:f>
        <x:v>1228.24986122449</x:v>
      </x:c>
    </x:row>
    <x:row r="32" ht="21" customHeight="1">
      <x:c r="A32" s="2"/>
      <x:c r="B32" s="2"/>
      <x:c r="C32" s="59" t="str">
        <x:v>Operating free cash after allowances</x:v>
      </x:c>
      <x:c r="D32" s="60" t="n">
        <x:f>D28-SUM(D30:D31)</x:f>
        <x:v>-10265.454361904767</x:v>
      </x:c>
      <x:c r="E32" s="60" t="n">
        <x:f>E28-SUM(E30:E31)</x:f>
        <x:v>-2832.5097219047575</x:v>
      </x:c>
      <x:c r="F32" s="60" t="n">
        <x:f>F28-SUM(F30:F31)</x:f>
        <x:v>-2301.585104761904</x:v>
      </x:c>
      <x:c r="G32" s="60" t="n">
        <x:f>G28-SUM(G30:G31)</x:f>
        <x:v>654.8665520870754</x:v>
      </x:c>
      <x:c r="H32" s="60" t="n">
        <x:f>H28-SUM(H30:H31)</x:f>
        <x:v>-2832.5097219047575</x:v>
      </x:c>
      <x:c r="I32" s="60" t="n">
        <x:f>I28-SUM(I30:I31)</x:f>
        <x:v>-5752.595116190464</x:v>
      </x:c>
      <x:c r="J32" s="60" t="n">
        <x:f>J28-SUM(J30:J31)</x:f>
        <x:v>-4889.8426133333205</x:v>
      </x:c>
      <x:c r="K32" s="60" t="n">
        <x:f>K28-SUM(K30:K31)</x:f>
        <x:v>-10265.454361904767</x:v>
      </x:c>
      <x:c r="L32" s="60" t="n">
        <x:f>L28-SUM(L30:L31)</x:f>
        <x:v>-11061.841287619043</x:v>
      </x:c>
      <x:c r="M32" s="60" t="n">
        <x:f>M28-SUM(M30:M31)</x:f>
        <x:v>-14247.388990476187</x:v>
      </x:c>
      <x:c r="N32" s="60" t="n">
        <x:f>N28-SUM(N30:N31)</x:f>
        <x:v>-15176.507070476177</x:v>
      </x:c>
      <x:c r="O32" s="60" t="n">
        <x:f>O28-SUM(O30:O31)</x:f>
        <x:v>-13119.174179047614</x:v>
      </x:c>
      <x:c r="P32" s="60" t="n">
        <x:f>P28-SUM(P30:P31)</x:f>
        <x:v>636.6796936462533</x:v>
      </x:c>
      <x:c r="Q32" s="60" t="n">
        <x:f>Q28-SUM(Q30:Q31)</x:f>
        <x:v>7867.248980351027</x:v>
      </x:c>
      <x:c r="R32" s="60" t="n">
        <x:f>R28-SUM(R30:R31)</x:f>
        <x:v>8383.718215115648</x:v>
      </x:c>
      <x:c r="S32" s="60" t="n">
        <x:f>S28-SUM(S30:S31)</x:f>
        <x:v>11869.885549776869</x:v>
      </x:c>
      <x:c r="T32" s="60" t="n">
        <x:f>T28-SUM(T30:T31)</x:f>
        <x:v>7867.248980351027</x:v>
      </x:c>
      <x:c r="U32" s="64" t="n">
        <x:f>U28-SUM(U30:U31)</x:f>
        <x:v>3606.3777935428607</x:v>
      </x:c>
      <x:c r="V32" s="64" t="n">
        <x:f>V28-SUM(V30:V31)</x:f>
        <x:v>5865.930695638101</x:v>
      </x:c>
      <x:c r="W32" s="64" t="n">
        <x:f>W28-SUM(W30:W31)</x:f>
        <x:v>636.6796936462533</x:v>
      </x:c>
      <x:c r="X32" s="64" t="n">
        <x:f>X28-SUM(X30:X31)</x:f>
        <x:v>-138.02415850067223</x:v>
      </x:c>
      <x:c r="Y32" s="64" t="n">
        <x:f>Y28-SUM(Y30:Y31)</x:f>
        <x:v>-4079.5109619047566</x:v>
      </x:c>
      <x:c r="Z32" s="64" t="n">
        <x:f>Z28-SUM(Z30:Z31)</x:f>
        <x:v>-5327.353948571427</x:v>
      </x:c>
      <x:c r="AA32" s="64" t="n">
        <x:f>AA28-SUM(AA30:AA31)</x:f>
        <x:v>-2564.2730495237997</x:v>
      </x:c>
      <x:c r="AB32" s="64" t="n">
        <x:f>AB28-SUM(AB30:AB31)</x:f>
        <x:v>5696.2652182483</x:v>
      </x:c>
      <x:c r="AC32" s="64" t="n">
        <x:f>AC28-SUM(AC30:AC31)</x:f>
        <x:v>14134.162697562586</x:v>
      </x:c>
      <x:c r="AD32" s="64" t="n">
        <x:f>AD28-SUM(AD30:AD31)</x:f>
        <x:v>14736.869660370752</x:v>
      </x:c>
      <x:c r="AE32" s="64" t="n">
        <x:f>AE28-SUM(AE30:AE31)</x:f>
        <x:v>17392.795471744892</x:v>
      </x:c>
      <x:c r="AF32" s="64" t="n">
        <x:f>AF28-SUM(AF30:AF31)</x:f>
        <x:v>14134.162697562586</x:v>
      </x:c>
      <x:c r="AG32" s="64" t="n">
        <x:f>AG28-SUM(AG30:AG31)</x:f>
        <x:v>9161.830254395241</x:v>
      </x:c>
      <x:c r="AH32" s="64" t="n">
        <x:f>AH28-SUM(AH30:AH31)</x:f>
        <x:v>11798.673216680963</x:v>
      </x:c>
      <x:c r="AI32" s="64" t="n">
        <x:f>AI28-SUM(AI30:AI31)</x:f>
        <x:v>5696.2652182483</x:v>
      </x:c>
      <x:c r="AJ32" s="64" t="n">
        <x:f>AJ28-SUM(AJ30:AJ31)</x:f>
        <x:v>4792.2047740360595</x:v>
      </x:c>
      <x:c r="AK32" s="64" t="n">
        <x:f>AK28-SUM(AK30:AK31)</x:f>
        <x:v>1175.962997187073</x:v>
      </x:c>
      <x:c r="AL32" s="64" t="n">
        <x:f>AL28-SUM(AL30:AL31)</x:f>
        <x:v>121.2258122727983</x:v>
      </x:c>
      <x:c r="AM32" s="64" t="n">
        <x:f>AM28-SUM(AM30:AM31)</x:f>
        <x:v>2456.715293154426</x:v>
      </x:c>
      <x:c r="AN32" s="64" t="n">
        <x:f>AN28-SUM(AN30:AN31)</x:f>
        <x:v>5924.028439997377</x:v>
      </x:c>
      <x:c r="AO32" s="64" t="n">
        <x:f>AO28-SUM(AO30:AO31)</x:f>
        <x:v>14626.238334397392</x:v>
      </x:c>
      <x:c r="AP32" s="64" t="n">
        <x:f>AP28-SUM(AP30:AP31)</x:f>
        <x:v>14604.631045711661</x:v>
      </x:c>
      <x:c r="AQ32" s="64" t="n">
        <x:f>AQ28-SUM(AQ30:AQ31)</x:f>
        <x:v>17034.236659730715</x:v>
      </x:c>
      <x:c r="AR32" s="64" t="n">
        <x:f>AR28-SUM(AR30:AR31)</x:f>
        <x:v>14626.238334397392</x:v>
      </x:c>
      <x:c r="AS32" s="64" t="n">
        <x:f>AS28-SUM(AS30:AS31)</x:f>
        <x:v>9498.150360911668</x:v>
      </x:c>
      <x:c r="AT32" s="64" t="n">
        <x:f>AT28-SUM(AT30:AT31)</x:f>
        <x:v>12217.59095291166</x:v>
      </x:c>
      <x:c r="AU32" s="64" t="n">
        <x:f>AU28-SUM(AU30:AU31)</x:f>
        <x:v>5924.028439997377</x:v>
      </x:c>
      <x:c r="AV32" s="64" t="n">
        <x:f>AV28-SUM(AV30:AV31)</x:f>
        <x:v>4991.648808454533</x:v>
      </x:c>
      <x:c r="AW32" s="64" t="n">
        <x:f>AW28-SUM(AW30:AW31)</x:f>
        <x:v>1262.1302822830928</x:v>
      </x:c>
      <x:c r="AX32" s="64" t="n">
        <x:f>AX28-SUM(AX30:AX31)</x:f>
        <x:v>174.3540454831084</x:v>
      </x:c>
      <x:c r="AY32" s="64" t="n">
        <x:f>AY28-SUM(AY30:AY31)</x:f>
        <x:v>2583.00142696881</x:v>
      </x:c>
      <x:c r="AZ32" s="64" t="n">
        <x:f>AZ28-SUM(AZ30:AZ31)</x:f>
        <x:v>6118.269716452818</x:v>
      </x:c>
      <x:c r="BA32" s="64" t="n">
        <x:f>BA28-SUM(BA30:BA31)</x:f>
        <x:v>15084.79202593853</x:v>
      </x:c>
      <x:c r="BB32" s="64" t="n">
        <x:f>BB28-SUM(BB30:BB31)</x:f>
        <x:v>14157.473237758924</x:v>
      </x:c>
      <x:c r="BC32" s="64" t="n">
        <x:f>BC28-SUM(BC30:BC31)</x:f>
        <x:v>16642.155902422877</x:v>
      </x:c>
      <x:c r="BD32" s="64" t="n">
        <x:f>BD28-SUM(BD30:BD31)</x:f>
        <x:v>15084.79202593853</x:v>
      </x:c>
      <x:c r="BE32" s="64" t="n">
        <x:f>BE28-SUM(BE30:BE31)</x:f>
        <x:v>11562.229690069142</x:v>
      </x:c>
      <x:c r="BF32" s="64" t="n">
        <x:f>BF28-SUM(BF30:BF31)</x:f>
        <x:v>12602.986743848734</x:v>
      </x:c>
      <x:c r="BG32" s="64" t="n">
        <x:f>BG28-SUM(BG30:BG31)</x:f>
        <x:v>6118.269716452818</x:v>
      </x:c>
      <x:c r="BH32" s="64" t="n">
        <x:f>BH28-SUM(BH30:BH31)</x:f>
        <x:v>5157.570897579339</x:v>
      </x:c>
      <x:c r="BI32" s="64" t="n">
        <x:f>BI28-SUM(BI30:BI31)</x:f>
        <x:v>1314.7756220854594</x:v>
      </x:c>
      <x:c r="BJ32" s="64" t="n">
        <x:f>BJ28-SUM(BJ30:BJ31)</x:f>
        <x:v>193.96033339975543</x:v>
      </x:c>
      <x:c r="BK32" s="64" t="n">
        <x:f>BK28-SUM(BK30:BK31)</x:f>
        <x:v>2675.765615489552</x:v>
      </x:c>
    </x:row>
    <x:row r="33" ht="21" customHeight="1">
      <x:c r="A33" s="2"/>
      <x:c r="B33" s="2"/>
      <x:c r="C33" s="2" t="str">
        <x:v>Cumulative operating free cash</x:v>
      </x:c>
      <x:c r="D33" s="8" t="n">
        <x:f>D32</x:f>
        <x:v>-10265.454361904767</x:v>
      </x:c>
      <x:c r="E33" s="8" t="n">
        <x:f>D33+E32</x:f>
        <x:v>-13097.964083809526</x:v>
      </x:c>
      <x:c r="F33" s="8" t="n">
        <x:f>E33+F32</x:f>
        <x:v>-15399.54918857143</x:v>
      </x:c>
      <x:c r="G33" s="8" t="n">
        <x:f>F33+G32</x:f>
        <x:v>-14744.682636484355</x:v>
      </x:c>
      <x:c r="H33" s="8" t="n">
        <x:f>G33+H32</x:f>
        <x:v>-17577.19235838911</x:v>
      </x:c>
      <x:c r="I33" s="8" t="n">
        <x:f>H33+I32</x:f>
        <x:v>-23329.787474579574</x:v>
      </x:c>
      <x:c r="J33" s="8" t="n">
        <x:f>I33+J32</x:f>
        <x:v>-28219.630087912894</x:v>
      </x:c>
      <x:c r="K33" s="8" t="n">
        <x:f>J33+K32</x:f>
        <x:v>-38485.08444981766</x:v>
      </x:c>
      <x:c r="L33" s="8" t="n">
        <x:f>K33+L32</x:f>
        <x:v>-49546.9257374367</x:v>
      </x:c>
      <x:c r="M33" s="8" t="n">
        <x:f>L33+M32</x:f>
        <x:v>-63794.31472791289</x:v>
      </x:c>
      <x:c r="N33" s="8" t="n">
        <x:f>M33+N32</x:f>
        <x:v>-78970.82179838906</x:v>
      </x:c>
      <x:c r="O33" s="8" t="n">
        <x:f>N33+O32</x:f>
        <x:v>-92089.99597743667</x:v>
      </x:c>
      <x:c r="P33" s="8" t="n">
        <x:f>O33+P32</x:f>
        <x:v>-91453.31628379042</x:v>
      </x:c>
      <x:c r="Q33" s="8" t="n">
        <x:f>P33+Q32</x:f>
        <x:v>-83586.0673034394</x:v>
      </x:c>
      <x:c r="R33" s="8" t="n">
        <x:f>Q33+R32</x:f>
        <x:v>-75202.34908832375</x:v>
      </x:c>
      <x:c r="S33" s="8" t="n">
        <x:f>R33+S32</x:f>
        <x:v>-63332.46353854689</x:v>
      </x:c>
      <x:c r="T33" s="8" t="n">
        <x:f>S33+T32</x:f>
        <x:v>-55465.21455819586</x:v>
      </x:c>
      <x:c r="U33" s="35" t="n">
        <x:f>T33+U32</x:f>
        <x:v>-51858.836764653</x:v>
      </x:c>
      <x:c r="V33" s="35" t="n">
        <x:f>U33+V32</x:f>
        <x:v>-45992.906069014905</x:v>
      </x:c>
      <x:c r="W33" s="35" t="n">
        <x:f>V33+W32</x:f>
        <x:v>-45356.22637536865</x:v>
      </x:c>
      <x:c r="X33" s="35" t="n">
        <x:f>W33+X32</x:f>
        <x:v>-45494.25053386932</x:v>
      </x:c>
      <x:c r="Y33" s="35" t="n">
        <x:f>X33+Y32</x:f>
        <x:v>-49573.76149577408</x:v>
      </x:c>
      <x:c r="Z33" s="35" t="n">
        <x:f>Y33+Z32</x:f>
        <x:v>-54901.11544434551</x:v>
      </x:c>
      <x:c r="AA33" s="35" t="n">
        <x:f>Z33+AA32</x:f>
        <x:v>-57465.38849386931</x:v>
      </x:c>
      <x:c r="AB33" s="35" t="n">
        <x:f>AA33+AB32</x:f>
        <x:v>-51769.12327562101</x:v>
      </x:c>
      <x:c r="AC33" s="35" t="n">
        <x:f>AB33+AC32</x:f>
        <x:v>-37634.960578058424</x:v>
      </x:c>
      <x:c r="AD33" s="35" t="n">
        <x:f>AC33+AD32</x:f>
        <x:v>-22898.090917687674</x:v>
      </x:c>
      <x:c r="AE33" s="35" t="n">
        <x:f>AD33+AE32</x:f>
        <x:v>-5505.295445942782</x:v>
      </x:c>
      <x:c r="AF33" s="35" t="n">
        <x:f>AE33+AF32</x:f>
        <x:v>8628.867251619804</x:v>
      </x:c>
      <x:c r="AG33" s="35" t="n">
        <x:f>AF33+AG32</x:f>
        <x:v>17790.697506015043</x:v>
      </x:c>
      <x:c r="AH33" s="35" t="n">
        <x:f>AG33+AH32</x:f>
        <x:v>29589.370722696007</x:v>
      </x:c>
      <x:c r="AI33" s="35" t="n">
        <x:f>AH33+AI32</x:f>
        <x:v>35285.63594094431</x:v>
      </x:c>
      <x:c r="AJ33" s="35" t="n">
        <x:f>AI33+AJ32</x:f>
        <x:v>40077.84071498037</x:v>
      </x:c>
      <x:c r="AK33" s="35" t="n">
        <x:f>AJ33+AK32</x:f>
        <x:v>41253.80371216744</x:v>
      </x:c>
      <x:c r="AL33" s="35" t="n">
        <x:f>AK33+AL32</x:f>
        <x:v>41375.029524440244</x:v>
      </x:c>
      <x:c r="AM33" s="35" t="n">
        <x:f>AL33+AM32</x:f>
        <x:v>43831.74481759467</x:v>
      </x:c>
      <x:c r="AN33" s="35" t="n">
        <x:f>AM33+AN32</x:f>
        <x:v>49755.773257592045</x:v>
      </x:c>
      <x:c r="AO33" s="35" t="n">
        <x:f>AN33+AO32</x:f>
        <x:v>64382.01159198944</x:v>
      </x:c>
      <x:c r="AP33" s="35" t="n">
        <x:f>AO33+AP32</x:f>
        <x:v>78986.6426377011</x:v>
      </x:c>
      <x:c r="AQ33" s="35" t="n">
        <x:f>AP33+AQ32</x:f>
        <x:v>96020.8792974318</x:v>
      </x:c>
      <x:c r="AR33" s="35" t="n">
        <x:f>AQ33+AR32</x:f>
        <x:v>110647.1176318292</x:v>
      </x:c>
      <x:c r="AS33" s="35" t="n">
        <x:f>AR33+AS32</x:f>
        <x:v>120145.26799274086</x:v>
      </x:c>
      <x:c r="AT33" s="35" t="n">
        <x:f>AS33+AT32</x:f>
        <x:v>132362.85894565252</x:v>
      </x:c>
      <x:c r="AU33" s="35" t="n">
        <x:f>AT33+AU32</x:f>
        <x:v>138286.8873856499</x:v>
      </x:c>
      <x:c r="AV33" s="35" t="n">
        <x:f>AU33+AV32</x:f>
        <x:v>143278.53619410444</x:v>
      </x:c>
      <x:c r="AW33" s="35" t="n">
        <x:f>AV33+AW32</x:f>
        <x:v>144540.66647638753</x:v>
      </x:c>
      <x:c r="AX33" s="35" t="n">
        <x:f>AW33+AX32</x:f>
        <x:v>144715.02052187064</x:v>
      </x:c>
      <x:c r="AY33" s="35" t="n">
        <x:f>AX33+AY32</x:f>
        <x:v>147298.02194883945</x:v>
      </x:c>
      <x:c r="AZ33" s="35" t="n">
        <x:f>AY33+AZ32</x:f>
        <x:v>153416.29166529226</x:v>
      </x:c>
      <x:c r="BA33" s="35" t="n">
        <x:f>AZ33+BA32</x:f>
        <x:v>168501.0836912308</x:v>
      </x:c>
      <x:c r="BB33" s="35" t="n">
        <x:f>BA33+BB32</x:f>
        <x:v>182658.5569289897</x:v>
      </x:c>
      <x:c r="BC33" s="35" t="n">
        <x:f>BB33+BC32</x:f>
        <x:v>199300.7128314126</x:v>
      </x:c>
      <x:c r="BD33" s="35" t="n">
        <x:f>BC33+BD32</x:f>
        <x:v>214385.50485735113</x:v>
      </x:c>
      <x:c r="BE33" s="35" t="n">
        <x:f>BD33+BE32</x:f>
        <x:v>225947.73454742026</x:v>
      </x:c>
      <x:c r="BF33" s="35" t="n">
        <x:f>BE33+BF32</x:f>
        <x:v>238550.721291269</x:v>
      </x:c>
      <x:c r="BG33" s="35" t="n">
        <x:f>BF33+BG32</x:f>
        <x:v>244668.9910077218</x:v>
      </x:c>
      <x:c r="BH33" s="35" t="n">
        <x:f>BG33+BH32</x:f>
        <x:v>249826.56190530115</x:v>
      </x:c>
      <x:c r="BI33" s="35" t="n">
        <x:f>BH33+BI32</x:f>
        <x:v>251141.3375273866</x:v>
      </x:c>
      <x:c r="BJ33" s="35" t="n">
        <x:f>BI33+BJ32</x:f>
        <x:v>251335.29786078638</x:v>
      </x:c>
      <x:c r="BK33" s="35" t="n">
        <x:f>BJ33+BK32</x:f>
        <x:v>254011.06347627594</x:v>
      </x:c>
    </x:row>
    <x:row r="34" ht="21" customHeight="1">
      <x:c r="A34" s="2"/>
      <x:c r="B34" s="2"/>
      <x:c r="C34" s="2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4"/>
      <x:c r="V34" s="34"/>
      <x:c r="W34" s="34"/>
      <x:c r="X34" s="34"/>
      <x:c r="Y34" s="34"/>
      <x:c r="Z34" s="34"/>
      <x:c r="AA34" s="34"/>
      <x:c r="AB34" s="34"/>
      <x:c r="AC34" s="34"/>
      <x:c r="AD34" s="34"/>
      <x:c r="AE34" s="34"/>
      <x:c r="AF34" s="34"/>
      <x:c r="AG34" s="34"/>
      <x:c r="AH34" s="34"/>
      <x:c r="AI34" s="34"/>
      <x:c r="AJ34" s="34"/>
      <x:c r="AK34" s="34"/>
      <x:c r="AL34" s="34"/>
      <x:c r="AM34" s="34"/>
      <x:c r="AN34" s="34"/>
      <x:c r="AO34" s="34"/>
      <x:c r="AP34" s="34"/>
      <x:c r="AQ34" s="34"/>
      <x:c r="AR34" s="34"/>
      <x:c r="AS34" s="34"/>
      <x:c r="AT34" s="34"/>
      <x:c r="AU34" s="34"/>
      <x:c r="AV34" s="34"/>
      <x:c r="AW34" s="34"/>
      <x:c r="AX34" s="34"/>
      <x:c r="AY34" s="34"/>
      <x:c r="AZ34" s="34"/>
      <x:c r="BA34" s="34"/>
      <x:c r="BB34" s="34"/>
      <x:c r="BC34" s="34"/>
      <x:c r="BD34" s="34"/>
      <x:c r="BE34" s="34"/>
      <x:c r="BF34" s="34"/>
      <x:c r="BG34" s="34"/>
      <x:c r="BH34" s="34"/>
      <x:c r="BI34" s="34"/>
      <x:c r="BJ34" s="34"/>
      <x:c r="BK34" s="34"/>
    </x:row>
    <x:row r="35" ht="21" customHeight="1">
      <x:c r="A35" s="2"/>
      <x:c r="B35" s="2"/>
      <x:c r="C35" s="2" t="str">
        <x:v>Opening unrestricted cash</x:v>
      </x:c>
      <x:c r="D35" s="22" t="n">
        <x:f>'Opening budget'!E29</x:f>
        <x:v>393000</x:v>
      </x:c>
      <x:c r="E35" s="8" t="n">
        <x:f>D38</x:f>
        <x:v>382734.54563809524</x:v>
      </x:c>
      <x:c r="F35" s="8" t="n">
        <x:f>E38</x:f>
        <x:v>379902.0359161905</x:v>
      </x:c>
      <x:c r="G35" s="8" t="n">
        <x:f>F38</x:f>
        <x:v>377600.4508114286</x:v>
      </x:c>
      <x:c r="H35" s="8" t="n">
        <x:f>G38</x:f>
        <x:v>378255.31736351567</x:v>
      </x:c>
      <x:c r="I35" s="8" t="n">
        <x:f>H38</x:f>
        <x:v>375422.8076416109</x:v>
      </x:c>
      <x:c r="J35" s="8" t="n">
        <x:f>I38</x:f>
        <x:v>369670.2125254205</x:v>
      </x:c>
      <x:c r="K35" s="8" t="n">
        <x:f>J38</x:f>
        <x:v>364780.36991208716</x:v>
      </x:c>
      <x:c r="L35" s="8" t="n">
        <x:f>K38</x:f>
        <x:v>354514.9155501824</x:v>
      </x:c>
      <x:c r="M35" s="8" t="n">
        <x:f>L38</x:f>
        <x:v>343453.0742625634</x:v>
      </x:c>
      <x:c r="N35" s="8" t="n">
        <x:f>M38</x:f>
        <x:v>329205.68527208717</x:v>
      </x:c>
      <x:c r="O35" s="8" t="n">
        <x:f>N38</x:f>
        <x:v>314029.178201611</x:v>
      </x:c>
      <x:c r="P35" s="8" t="n">
        <x:f>O38</x:f>
        <x:v>300910.00402256334</x:v>
      </x:c>
      <x:c r="Q35" s="8" t="n">
        <x:f>P38</x:f>
        <x:v>301546.6837162096</x:v>
      </x:c>
      <x:c r="R35" s="8" t="n">
        <x:f>Q38</x:f>
        <x:v>309413.93269656063</x:v>
      </x:c>
      <x:c r="S35" s="8" t="n">
        <x:f>R38</x:f>
        <x:v>317797.6509116763</x:v>
      </x:c>
      <x:c r="T35" s="8" t="n">
        <x:f>S38</x:f>
        <x:v>329667.5364614532</x:v>
      </x:c>
      <x:c r="U35" s="35" t="n">
        <x:f>T38</x:f>
        <x:v>337534.7854418042</x:v>
      </x:c>
      <x:c r="V35" s="35" t="n">
        <x:f>U38</x:f>
        <x:v>341141.1632353471</x:v>
      </x:c>
      <x:c r="W35" s="35" t="n">
        <x:f>V38</x:f>
        <x:v>347007.0939309852</x:v>
      </x:c>
      <x:c r="X35" s="35" t="n">
        <x:f>W38</x:f>
        <x:v>347643.77362463146</x:v>
      </x:c>
      <x:c r="Y35" s="35" t="n">
        <x:f>X38</x:f>
        <x:v>347505.7494661308</x:v>
      </x:c>
      <x:c r="Z35" s="35" t="n">
        <x:f>Y38</x:f>
        <x:v>343426.238504226</x:v>
      </x:c>
      <x:c r="AA35" s="35" t="n">
        <x:f>Z38</x:f>
        <x:v>338098.8845556546</x:v>
      </x:c>
      <x:c r="AB35" s="35" t="n">
        <x:f>AA38</x:f>
        <x:v>335534.6115061308</x:v>
      </x:c>
      <x:c r="AC35" s="35" t="n">
        <x:f>AB38</x:f>
        <x:v>341230.8767243791</x:v>
      </x:c>
      <x:c r="AD35" s="35" t="n">
        <x:f>AC38</x:f>
        <x:v>355365.0394219417</x:v>
      </x:c>
      <x:c r="AE35" s="35" t="n">
        <x:f>AD38</x:f>
        <x:v>370101.9090823124</x:v>
      </x:c>
      <x:c r="AF35" s="35" t="n">
        <x:f>AE38</x:f>
        <x:v>387494.70455405733</x:v>
      </x:c>
      <x:c r="AG35" s="35" t="n">
        <x:f>AF38</x:f>
        <x:v>401628.86725161993</x:v>
      </x:c>
      <x:c r="AH35" s="35" t="n">
        <x:f>AG38</x:f>
        <x:v>393000.0000000001</x:v>
      </x:c>
      <x:c r="AI35" s="35" t="n">
        <x:f>AH38</x:f>
        <x:v>404798.67321668105</x:v>
      </x:c>
      <x:c r="AJ35" s="35" t="n">
        <x:f>AI38</x:f>
        <x:v>410494.93843492935</x:v>
      </x:c>
      <x:c r="AK35" s="35" t="n">
        <x:f>AJ38</x:f>
        <x:v>404143.5716044828</x:v>
      </x:c>
      <x:c r="AL35" s="35" t="n">
        <x:f>AK38</x:f>
        <x:v>405319.5346016698</x:v>
      </x:c>
      <x:c r="AM35" s="35" t="n">
        <x:f>AL38</x:f>
        <x:v>405440.7604139426</x:v>
      </x:c>
      <x:c r="AN35" s="35" t="n">
        <x:f>AM38</x:f>
        <x:v>406020.5236557899</x:v>
      </x:c>
      <x:c r="AO35" s="35" t="n">
        <x:f>AN38</x:f>
        <x:v>411944.5520957873</x:v>
      </x:c>
      <x:c r="AP35" s="35" t="n">
        <x:f>AO38</x:f>
        <x:v>426570.7904301847</x:v>
      </x:c>
      <x:c r="AQ35" s="35" t="n">
        <x:f>AP38</x:f>
        <x:v>423597.9725658431</x:v>
      </x:c>
      <x:c r="AR35" s="35" t="n">
        <x:f>AQ38</x:f>
        <x:v>440632.2092255738</x:v>
      </x:c>
      <x:c r="AS35" s="35" t="n">
        <x:f>AR38</x:f>
        <x:v>455258.4475599712</x:v>
      </x:c>
      <x:c r="AT35" s="35" t="n">
        <x:f>AS38</x:f>
        <x:v>444177.285243363</x:v>
      </x:c>
      <x:c r="AU35" s="35" t="n">
        <x:f>AT38</x:f>
        <x:v>456394.87619627465</x:v>
      </x:c>
      <x:c r="AV35" s="35" t="n">
        <x:f>AU38</x:f>
        <x:v>462318.90463627205</x:v>
      </x:c>
      <x:c r="AW35" s="35" t="n">
        <x:f>AV38</x:f>
        <x:v>455743.91934404476</x:v>
      </x:c>
      <x:c r="AX35" s="35" t="n">
        <x:f>AW38</x:f>
        <x:v>457006.0496263279</x:v>
      </x:c>
      <x:c r="AY35" s="35" t="n">
        <x:f>AX38</x:f>
        <x:v>457180.403671811</x:v>
      </x:c>
      <x:c r="AZ35" s="35" t="n">
        <x:f>AY38</x:f>
        <x:v>457753.6622214123</x:v>
      </x:c>
      <x:c r="BA35" s="35" t="n">
        <x:f>AZ38</x:f>
        <x:v>463871.9319378651</x:v>
      </x:c>
      <x:c r="BB35" s="35" t="n">
        <x:f>BA38</x:f>
        <x:v>478956.7239638036</x:v>
      </x:c>
      <x:c r="BC35" s="35" t="n">
        <x:f>BB38</x:f>
        <x:v>475433.9297114874</x:v>
      </x:c>
      <x:c r="BD35" s="35" t="n">
        <x:f>BC38</x:f>
        <x:v>492076.0856139102</x:v>
      </x:c>
      <x:c r="BE35" s="35" t="n">
        <x:f>BD38</x:f>
        <x:v>507160.87763984874</x:v>
      </x:c>
      <x:c r="BF35" s="35" t="n">
        <x:f>BE38</x:f>
        <x:v>497078.5185207026</x:v>
      </x:c>
      <x:c r="BG35" s="35" t="n">
        <x:f>BF38</x:f>
        <x:v>509681.5052645513</x:v>
      </x:c>
      <x:c r="BH35" s="35" t="n">
        <x:f>BG38</x:f>
        <x:v>515799.7749810041</x:v>
      </x:c>
      <x:c r="BI35" s="35" t="n">
        <x:f>BH38</x:f>
        <x:v>509017.93219964305</x:v>
      </x:c>
      <x:c r="BJ35" s="35" t="n">
        <x:f>BI38</x:f>
        <x:v>510332.7078217285</x:v>
      </x:c>
      <x:c r="BK35" s="35" t="n">
        <x:f>BJ38</x:f>
        <x:v>510526.66815512825</x:v>
      </x:c>
    </x:row>
    <x:row r="36" ht="21" customHeight="1">
      <x:c r="A36" s="2"/>
      <x:c r="B36" s="2"/>
      <x:c r="C36" s="2" t="str">
        <x:v>Cash before distributions</x:v>
      </x:c>
      <x:c r="D36" s="8" t="n">
        <x:f>D35+D32</x:f>
        <x:v>382734.54563809524</x:v>
      </x:c>
      <x:c r="E36" s="8" t="n">
        <x:f>E35+E32</x:f>
        <x:v>379902.0359161905</x:v>
      </x:c>
      <x:c r="F36" s="8" t="n">
        <x:f>F35+F32</x:f>
        <x:v>377600.4508114286</x:v>
      </x:c>
      <x:c r="G36" s="8" t="n">
        <x:f>G35+G32</x:f>
        <x:v>378255.31736351567</x:v>
      </x:c>
      <x:c r="H36" s="8" t="n">
        <x:f>H35+H32</x:f>
        <x:v>375422.8076416109</x:v>
      </x:c>
      <x:c r="I36" s="8" t="n">
        <x:f>I35+I32</x:f>
        <x:v>369670.2125254205</x:v>
      </x:c>
      <x:c r="J36" s="8" t="n">
        <x:f>J35+J32</x:f>
        <x:v>364780.36991208716</x:v>
      </x:c>
      <x:c r="K36" s="8" t="n">
        <x:f>K35+K32</x:f>
        <x:v>354514.9155501824</x:v>
      </x:c>
      <x:c r="L36" s="8" t="n">
        <x:f>L35+L32</x:f>
        <x:v>343453.0742625634</x:v>
      </x:c>
      <x:c r="M36" s="8" t="n">
        <x:f>M35+M32</x:f>
        <x:v>329205.68527208717</x:v>
      </x:c>
      <x:c r="N36" s="8" t="n">
        <x:f>N35+N32</x:f>
        <x:v>314029.178201611</x:v>
      </x:c>
      <x:c r="O36" s="8" t="n">
        <x:f>O35+O32</x:f>
        <x:v>300910.00402256334</x:v>
      </x:c>
      <x:c r="P36" s="8" t="n">
        <x:f>P35+P32</x:f>
        <x:v>301546.6837162096</x:v>
      </x:c>
      <x:c r="Q36" s="8" t="n">
        <x:f>Q35+Q32</x:f>
        <x:v>309413.93269656063</x:v>
      </x:c>
      <x:c r="R36" s="8" t="n">
        <x:f>R35+R32</x:f>
        <x:v>317797.6509116763</x:v>
      </x:c>
      <x:c r="S36" s="8" t="n">
        <x:f>S35+S32</x:f>
        <x:v>329667.5364614532</x:v>
      </x:c>
      <x:c r="T36" s="8" t="n">
        <x:f>T35+T32</x:f>
        <x:v>337534.7854418042</x:v>
      </x:c>
      <x:c r="U36" s="35" t="n">
        <x:f>U35+U32</x:f>
        <x:v>341141.1632353471</x:v>
      </x:c>
      <x:c r="V36" s="35" t="n">
        <x:f>V35+V32</x:f>
        <x:v>347007.0939309852</x:v>
      </x:c>
      <x:c r="W36" s="35" t="n">
        <x:f>W35+W32</x:f>
        <x:v>347643.77362463146</x:v>
      </x:c>
      <x:c r="X36" s="35" t="n">
        <x:f>X35+X32</x:f>
        <x:v>347505.7494661308</x:v>
      </x:c>
      <x:c r="Y36" s="35" t="n">
        <x:f>Y35+Y32</x:f>
        <x:v>343426.238504226</x:v>
      </x:c>
      <x:c r="Z36" s="35" t="n">
        <x:f>Z35+Z32</x:f>
        <x:v>338098.8845556546</x:v>
      </x:c>
      <x:c r="AA36" s="35" t="n">
        <x:f>AA35+AA32</x:f>
        <x:v>335534.6115061308</x:v>
      </x:c>
      <x:c r="AB36" s="35" t="n">
        <x:f>AB35+AB32</x:f>
        <x:v>341230.8767243791</x:v>
      </x:c>
      <x:c r="AC36" s="35" t="n">
        <x:f>AC35+AC32</x:f>
        <x:v>355365.0394219417</x:v>
      </x:c>
      <x:c r="AD36" s="35" t="n">
        <x:f>AD35+AD32</x:f>
        <x:v>370101.9090823124</x:v>
      </x:c>
      <x:c r="AE36" s="35" t="n">
        <x:f>AE35+AE32</x:f>
        <x:v>387494.70455405733</x:v>
      </x:c>
      <x:c r="AF36" s="35" t="n">
        <x:f>AF35+AF32</x:f>
        <x:v>401628.86725161993</x:v>
      </x:c>
      <x:c r="AG36" s="35" t="n">
        <x:f>AG35+AG32</x:f>
        <x:v>410790.6975060152</x:v>
      </x:c>
      <x:c r="AH36" s="35" t="n">
        <x:f>AH35+AH32</x:f>
        <x:v>404798.67321668105</x:v>
      </x:c>
      <x:c r="AI36" s="35" t="n">
        <x:f>AI35+AI32</x:f>
        <x:v>410494.93843492935</x:v>
      </x:c>
      <x:c r="AJ36" s="35" t="n">
        <x:f>AJ35+AJ32</x:f>
        <x:v>415287.1432089654</x:v>
      </x:c>
      <x:c r="AK36" s="35" t="n">
        <x:f>AK35+AK32</x:f>
        <x:v>405319.5346016698</x:v>
      </x:c>
      <x:c r="AL36" s="35" t="n">
        <x:f>AL35+AL32</x:f>
        <x:v>405440.7604139426</x:v>
      </x:c>
      <x:c r="AM36" s="35" t="n">
        <x:f>AM35+AM32</x:f>
        <x:v>407897.47570709704</x:v>
      </x:c>
      <x:c r="AN36" s="35" t="n">
        <x:f>AN35+AN32</x:f>
        <x:v>411944.5520957873</x:v>
      </x:c>
      <x:c r="AO36" s="35" t="n">
        <x:f>AO35+AO32</x:f>
        <x:v>426570.7904301847</x:v>
      </x:c>
      <x:c r="AP36" s="35" t="n">
        <x:f>AP35+AP32</x:f>
        <x:v>441175.4214758963</x:v>
      </x:c>
      <x:c r="AQ36" s="35" t="n">
        <x:f>AQ35+AQ32</x:f>
        <x:v>440632.2092255738</x:v>
      </x:c>
      <x:c r="AR36" s="35" t="n">
        <x:f>AR35+AR32</x:f>
        <x:v>455258.4475599712</x:v>
      </x:c>
      <x:c r="AS36" s="35" t="n">
        <x:f>AS35+AS32</x:f>
        <x:v>464756.59792088286</x:v>
      </x:c>
      <x:c r="AT36" s="35" t="n">
        <x:f>AT35+AT32</x:f>
        <x:v>456394.87619627465</x:v>
      </x:c>
      <x:c r="AU36" s="35" t="n">
        <x:f>AU35+AU32</x:f>
        <x:v>462318.90463627205</x:v>
      </x:c>
      <x:c r="AV36" s="35" t="n">
        <x:f>AV35+AV32</x:f>
        <x:v>467310.55344472657</x:v>
      </x:c>
      <x:c r="AW36" s="35" t="n">
        <x:f>AW35+AW32</x:f>
        <x:v>457006.0496263279</x:v>
      </x:c>
      <x:c r="AX36" s="35" t="n">
        <x:f>AX35+AX32</x:f>
        <x:v>457180.403671811</x:v>
      </x:c>
      <x:c r="AY36" s="35" t="n">
        <x:f>AY35+AY32</x:f>
        <x:v>459763.40509877977</x:v>
      </x:c>
      <x:c r="AZ36" s="35" t="n">
        <x:f>AZ35+AZ32</x:f>
        <x:v>463871.9319378651</x:v>
      </x:c>
      <x:c r="BA36" s="35" t="n">
        <x:f>BA35+BA32</x:f>
        <x:v>478956.7239638036</x:v>
      </x:c>
      <x:c r="BB36" s="35" t="n">
        <x:f>BB35+BB32</x:f>
        <x:v>493114.1972015625</x:v>
      </x:c>
      <x:c r="BC36" s="35" t="n">
        <x:f>BC35+BC32</x:f>
        <x:v>492076.0856139102</x:v>
      </x:c>
      <x:c r="BD36" s="35" t="n">
        <x:f>BD35+BD32</x:f>
        <x:v>507160.87763984874</x:v>
      </x:c>
      <x:c r="BE36" s="35" t="n">
        <x:f>BE35+BE32</x:f>
        <x:v>518723.1073299179</x:v>
      </x:c>
      <x:c r="BF36" s="35" t="n">
        <x:f>BF35+BF32</x:f>
        <x:v>509681.5052645513</x:v>
      </x:c>
      <x:c r="BG36" s="35" t="n">
        <x:f>BG35+BG32</x:f>
        <x:v>515799.7749810041</x:v>
      </x:c>
      <x:c r="BH36" s="35" t="n">
        <x:f>BH35+BH32</x:f>
        <x:v>520957.3458785835</x:v>
      </x:c>
      <x:c r="BI36" s="35" t="n">
        <x:f>BI35+BI32</x:f>
        <x:v>510332.7078217285</x:v>
      </x:c>
      <x:c r="BJ36" s="35" t="n">
        <x:f>BJ35+BJ32</x:f>
        <x:v>510526.66815512825</x:v>
      </x:c>
      <x:c r="BK36" s="35" t="n">
        <x:f>BK35+BK32</x:f>
        <x:v>513202.4337706178</x:v>
      </x:c>
    </x:row>
    <x:row r="37" ht="21" customHeight="1">
      <x:c r="A37" s="2"/>
      <x:c r="B37" s="2"/>
      <x:c r="C37" s="2" t="str">
        <x:v>Owner distributions</x:v>
      </x:c>
      <x:c r="D37" s="8" t="n">
        <x:f>0</x:f>
        <x:v>0</x:v>
      </x:c>
      <x:c r="E37" s="8" t="n">
        <x:f>0</x:f>
        <x:v>0</x:v>
      </x:c>
      <x:c r="F37" s="22" t="n">
        <x:f>IF(AND(F6&gt;='Inputs'!$D$41,F33&gt;0),MIN(MAX(0,F36-'Inputs'!$D$20),MAX(0,SUM(D32:F32))*'Inputs'!$D$40,MAX(0,F33-SUM($D$37:E37))),0)</x:f>
        <x:v>0</x:v>
      </x:c>
      <x:c r="G37" s="8" t="n">
        <x:f>0</x:f>
        <x:v>0</x:v>
      </x:c>
      <x:c r="H37" s="8" t="n">
        <x:f>0</x:f>
        <x:v>0</x:v>
      </x:c>
      <x:c r="I37" s="22" t="n">
        <x:f>IF(AND(I6&gt;='Inputs'!$D$41,I33&gt;0),MIN(MAX(0,I36-'Inputs'!$D$20),MAX(0,SUM(G32:I32))*'Inputs'!$D$40,MAX(0,I33-SUM($D$37:H37))),0)</x:f>
        <x:v>0</x:v>
      </x:c>
      <x:c r="J37" s="8" t="n">
        <x:f>0</x:f>
        <x:v>0</x:v>
      </x:c>
      <x:c r="K37" s="8" t="n">
        <x:f>0</x:f>
        <x:v>0</x:v>
      </x:c>
      <x:c r="L37" s="22" t="n">
        <x:f>IF(AND(L6&gt;='Inputs'!$D$41,L33&gt;0),MIN(MAX(0,L36-'Inputs'!$D$20),MAX(0,SUM(J32:L32))*'Inputs'!$D$40,MAX(0,L33-SUM($D$37:K37))),0)</x:f>
        <x:v>0</x:v>
      </x:c>
      <x:c r="M37" s="8" t="n">
        <x:f>0</x:f>
        <x:v>0</x:v>
      </x:c>
      <x:c r="N37" s="8" t="n">
        <x:f>0</x:f>
        <x:v>0</x:v>
      </x:c>
      <x:c r="O37" s="22" t="n">
        <x:f>IF(AND(O6&gt;='Inputs'!$D$41,O33&gt;0),MIN(MAX(0,O36-'Inputs'!$D$20),MAX(0,SUM(M32:O32))*'Inputs'!$D$40,MAX(0,O33-SUM($D$37:N37))),0)</x:f>
        <x:v>0</x:v>
      </x:c>
      <x:c r="P37" s="8" t="n">
        <x:f>0</x:f>
        <x:v>0</x:v>
      </x:c>
      <x:c r="Q37" s="8" t="n">
        <x:f>0</x:f>
        <x:v>0</x:v>
      </x:c>
      <x:c r="R37" s="22" t="n">
        <x:f>IF(AND(R6&gt;='Inputs'!$D$41,R33&gt;0),MIN(MAX(0,R36-'Inputs'!$D$20),MAX(0,SUM(P32:R32))*'Inputs'!$D$40,MAX(0,R33-SUM($D$37:Q37))),0)</x:f>
        <x:v>0</x:v>
      </x:c>
      <x:c r="S37" s="8" t="n">
        <x:f>0</x:f>
        <x:v>0</x:v>
      </x:c>
      <x:c r="T37" s="8" t="n">
        <x:f>0</x:f>
        <x:v>0</x:v>
      </x:c>
      <x:c r="U37" s="36" t="n">
        <x:f>IF(AND(U6&gt;='Inputs'!$D$41,U33&gt;0),MIN(MAX(0,U36-'Inputs'!$D$20),MAX(0,SUM(S32:U32))*'Inputs'!$D$40,MAX(0,U33-SUM($D$37:T37))),0)</x:f>
        <x:v>0</x:v>
      </x:c>
      <x:c r="V37" s="35" t="n">
        <x:f>0</x:f>
        <x:v>0</x:v>
      </x:c>
      <x:c r="W37" s="35" t="n">
        <x:f>0</x:f>
        <x:v>0</x:v>
      </x:c>
      <x:c r="X37" s="36" t="n">
        <x:f>IF(AND(X6&gt;='Inputs'!$D$41,X33&gt;0),MIN(MAX(0,X36-'Inputs'!$D$20),MAX(0,SUM(V32:X32))*'Inputs'!$D$40,MAX(0,X33-SUM($D$37:W37))),0)</x:f>
        <x:v>0</x:v>
      </x:c>
      <x:c r="Y37" s="35" t="n">
        <x:f>0</x:f>
        <x:v>0</x:v>
      </x:c>
      <x:c r="Z37" s="35" t="n">
        <x:f>0</x:f>
        <x:v>0</x:v>
      </x:c>
      <x:c r="AA37" s="36" t="n">
        <x:f>IF(AND(AA6&gt;='Inputs'!$D$41,AA33&gt;0),MIN(MAX(0,AA36-'Inputs'!$D$20),MAX(0,SUM(Y32:AA32))*'Inputs'!$D$40,MAX(0,AA33-SUM($D$37:Z37))),0)</x:f>
        <x:v>0</x:v>
      </x:c>
      <x:c r="AB37" s="35" t="n">
        <x:f>0</x:f>
        <x:v>0</x:v>
      </x:c>
      <x:c r="AC37" s="35" t="n">
        <x:f>0</x:f>
        <x:v>0</x:v>
      </x:c>
      <x:c r="AD37" s="36" t="n">
        <x:f>IF(AND(AD6&gt;='Inputs'!$D$41,AD33&gt;0),MIN(MAX(0,AD36-'Inputs'!$D$20),MAX(0,SUM(AB32:AD32))*'Inputs'!$D$40,MAX(0,AD33-SUM($D$37:AC37))),0)</x:f>
        <x:v>0</x:v>
      </x:c>
      <x:c r="AE37" s="35" t="n">
        <x:f>0</x:f>
        <x:v>0</x:v>
      </x:c>
      <x:c r="AF37" s="35" t="n">
        <x:f>0</x:f>
        <x:v>0</x:v>
      </x:c>
      <x:c r="AG37" s="36" t="n">
        <x:f>IF(AND(AG6&gt;='Inputs'!$D$41,AG33&gt;0),MIN(MAX(0,AG36-'Inputs'!$D$20),MAX(0,SUM(AE32:AG32))*'Inputs'!$D$40,MAX(0,AG33-SUM($D$37:AF37))),0)</x:f>
        <x:v>17790.697506015043</x:v>
      </x:c>
      <x:c r="AH37" s="35" t="n">
        <x:f>0</x:f>
        <x:v>0</x:v>
      </x:c>
      <x:c r="AI37" s="35" t="n">
        <x:f>0</x:f>
        <x:v>0</x:v>
      </x:c>
      <x:c r="AJ37" s="36" t="n">
        <x:f>IF(AND(AJ6&gt;='Inputs'!$D$41,AJ33&gt;0),MIN(MAX(0,AJ36-'Inputs'!$D$20),MAX(0,SUM(AH32:AJ32))*'Inputs'!$D$40,MAX(0,AJ33-SUM($D$37:AI37))),0)</x:f>
        <x:v>11143.571604482662</x:v>
      </x:c>
      <x:c r="AK37" s="35" t="n">
        <x:f>0</x:f>
        <x:v>0</x:v>
      </x:c>
      <x:c r="AL37" s="35" t="n">
        <x:f>0</x:f>
        <x:v>0</x:v>
      </x:c>
      <x:c r="AM37" s="36" t="n">
        <x:f>IF(AND(AM6&gt;='Inputs'!$D$41,AM33&gt;0),MIN(MAX(0,AM36-'Inputs'!$D$20),MAX(0,SUM(AK32:AM32))*'Inputs'!$D$40,MAX(0,AM33-SUM($D$37:AL37))),0)</x:f>
        <x:v>1876.9520513071486</x:v>
      </x:c>
      <x:c r="AN37" s="35" t="n">
        <x:f>0</x:f>
        <x:v>0</x:v>
      </x:c>
      <x:c r="AO37" s="35" t="n">
        <x:f>0</x:f>
        <x:v>0</x:v>
      </x:c>
      <x:c r="AP37" s="36" t="n">
        <x:f>IF(AND(AP6&gt;='Inputs'!$D$41,AP33&gt;0),MIN(MAX(0,AP36-'Inputs'!$D$20),MAX(0,SUM(AN32:AP32))*'Inputs'!$D$40,MAX(0,AP33-SUM($D$37:AO37))),0)</x:f>
        <x:v>17577.448910053216</x:v>
      </x:c>
      <x:c r="AQ37" s="35" t="n">
        <x:f>0</x:f>
        <x:v>0</x:v>
      </x:c>
      <x:c r="AR37" s="35" t="n">
        <x:f>0</x:f>
        <x:v>0</x:v>
      </x:c>
      <x:c r="AS37" s="36" t="n">
        <x:f>IF(AND(AS6&gt;='Inputs'!$D$41,AS33&gt;0),MIN(MAX(0,AS36-'Inputs'!$D$20),MAX(0,SUM(AQ32:AS32))*'Inputs'!$D$40,MAX(0,AS33-SUM($D$37:AR37))),0)</x:f>
        <x:v>20579.312677519887</x:v>
      </x:c>
      <x:c r="AT37" s="35" t="n">
        <x:f>0</x:f>
        <x:v>0</x:v>
      </x:c>
      <x:c r="AU37" s="35" t="n">
        <x:f>0</x:f>
        <x:v>0</x:v>
      </x:c>
      <x:c r="AV37" s="36" t="n">
        <x:f>IF(AND(AV6&gt;='Inputs'!$D$41,AV33&gt;0),MIN(MAX(0,AV36-'Inputs'!$D$20),MAX(0,SUM(AT32:AV32))*'Inputs'!$D$40,MAX(0,AV33-SUM($D$37:AU37))),0)</x:f>
        <x:v>11566.634100681786</x:v>
      </x:c>
      <x:c r="AW37" s="35" t="n">
        <x:f>0</x:f>
        <x:v>0</x:v>
      </x:c>
      <x:c r="AX37" s="35" t="n">
        <x:f>0</x:f>
        <x:v>0</x:v>
      </x:c>
      <x:c r="AY37" s="36" t="n">
        <x:f>IF(AND(AY6&gt;='Inputs'!$D$41,AY33&gt;0),MIN(MAX(0,AY36-'Inputs'!$D$20),MAX(0,SUM(AW32:AY32))*'Inputs'!$D$40,MAX(0,AY33-SUM($D$37:AX37))),0)</x:f>
        <x:v>2009.7428773675056</x:v>
      </x:c>
      <x:c r="AZ37" s="35" t="n">
        <x:f>0</x:f>
        <x:v>0</x:v>
      </x:c>
      <x:c r="BA37" s="35" t="n">
        <x:f>0</x:f>
        <x:v>0</x:v>
      </x:c>
      <x:c r="BB37" s="36" t="n">
        <x:f>IF(AND(BB6&gt;='Inputs'!$D$41,BB33&gt;0),MIN(MAX(0,BB36-'Inputs'!$D$20),MAX(0,SUM(AZ32:BB32))*'Inputs'!$D$40,MAX(0,BB33-SUM($D$37:BA37))),0)</x:f>
        <x:v>17680.267490075137</x:v>
      </x:c>
      <x:c r="BC37" s="35" t="n">
        <x:f>0</x:f>
        <x:v>0</x:v>
      </x:c>
      <x:c r="BD37" s="35" t="n">
        <x:f>0</x:f>
        <x:v>0</x:v>
      </x:c>
      <x:c r="BE37" s="36" t="n">
        <x:f>IF(AND(BE6&gt;='Inputs'!$D$41,BE33&gt;0),MIN(MAX(0,BE36-'Inputs'!$D$20),MAX(0,SUM(BC32:BE32))*'Inputs'!$D$40,MAX(0,BE33-SUM($D$37:BD37))),0)</x:f>
        <x:v>21644.588809215275</x:v>
      </x:c>
      <x:c r="BF37" s="35" t="n">
        <x:f>0</x:f>
        <x:v>0</x:v>
      </x:c>
      <x:c r="BG37" s="35" t="n">
        <x:f>0</x:f>
        <x:v>0</x:v>
      </x:c>
      <x:c r="BH37" s="36" t="n">
        <x:f>IF(AND(BH6&gt;='Inputs'!$D$41,BH33&gt;0),MIN(MAX(0,BH36-'Inputs'!$D$20),MAX(0,SUM(BF32:BH32))*'Inputs'!$D$40,MAX(0,BH33-SUM($D$37:BG37))),0)</x:f>
        <x:v>11939.413678940446</x:v>
      </x:c>
      <x:c r="BI37" s="35" t="n">
        <x:f>0</x:f>
        <x:v>0</x:v>
      </x:c>
      <x:c r="BJ37" s="35" t="n">
        <x:f>0</x:f>
        <x:v>0</x:v>
      </x:c>
      <x:c r="BK37" s="36" t="n">
        <x:f>IF(AND(BK6&gt;='Inputs'!$D$41,BK33&gt;0),MIN(MAX(0,BK36-'Inputs'!$D$20),MAX(0,SUM(BI32:BK32))*'Inputs'!$D$40,MAX(0,BK33-SUM($D$37:BJ37))),0)</x:f>
        <x:v>2092.2507854873834</x:v>
      </x:c>
    </x:row>
    <x:row r="38" ht="21" customHeight="1">
      <x:c r="A38" s="2"/>
      <x:c r="B38" s="2"/>
      <x:c r="C38" s="59" t="str">
        <x:v>Closing unrestricted cash</x:v>
      </x:c>
      <x:c r="D38" s="60" t="n">
        <x:f>D36-D37</x:f>
        <x:v>382734.54563809524</x:v>
      </x:c>
      <x:c r="E38" s="60" t="n">
        <x:f>E36-E37</x:f>
        <x:v>379902.0359161905</x:v>
      </x:c>
      <x:c r="F38" s="60" t="n">
        <x:f>F36-F37</x:f>
        <x:v>377600.4508114286</x:v>
      </x:c>
      <x:c r="G38" s="60" t="n">
        <x:f>G36-G37</x:f>
        <x:v>378255.31736351567</x:v>
      </x:c>
      <x:c r="H38" s="60" t="n">
        <x:f>H36-H37</x:f>
        <x:v>375422.8076416109</x:v>
      </x:c>
      <x:c r="I38" s="60" t="n">
        <x:f>I36-I37</x:f>
        <x:v>369670.2125254205</x:v>
      </x:c>
      <x:c r="J38" s="60" t="n">
        <x:f>J36-J37</x:f>
        <x:v>364780.36991208716</x:v>
      </x:c>
      <x:c r="K38" s="60" t="n">
        <x:f>K36-K37</x:f>
        <x:v>354514.9155501824</x:v>
      </x:c>
      <x:c r="L38" s="60" t="n">
        <x:f>L36-L37</x:f>
        <x:v>343453.0742625634</x:v>
      </x:c>
      <x:c r="M38" s="60" t="n">
        <x:f>M36-M37</x:f>
        <x:v>329205.68527208717</x:v>
      </x:c>
      <x:c r="N38" s="60" t="n">
        <x:f>N36-N37</x:f>
        <x:v>314029.178201611</x:v>
      </x:c>
      <x:c r="O38" s="60" t="n">
        <x:f>O36-O37</x:f>
        <x:v>300910.00402256334</x:v>
      </x:c>
      <x:c r="P38" s="60" t="n">
        <x:f>P36-P37</x:f>
        <x:v>301546.6837162096</x:v>
      </x:c>
      <x:c r="Q38" s="60" t="n">
        <x:f>Q36-Q37</x:f>
        <x:v>309413.93269656063</x:v>
      </x:c>
      <x:c r="R38" s="60" t="n">
        <x:f>R36-R37</x:f>
        <x:v>317797.6509116763</x:v>
      </x:c>
      <x:c r="S38" s="60" t="n">
        <x:f>S36-S37</x:f>
        <x:v>329667.5364614532</x:v>
      </x:c>
      <x:c r="T38" s="60" t="n">
        <x:f>T36-T37</x:f>
        <x:v>337534.7854418042</x:v>
      </x:c>
      <x:c r="U38" s="64" t="n">
        <x:f>U36-U37</x:f>
        <x:v>341141.1632353471</x:v>
      </x:c>
      <x:c r="V38" s="64" t="n">
        <x:f>V36-V37</x:f>
        <x:v>347007.0939309852</x:v>
      </x:c>
      <x:c r="W38" s="64" t="n">
        <x:f>W36-W37</x:f>
        <x:v>347643.77362463146</x:v>
      </x:c>
      <x:c r="X38" s="64" t="n">
        <x:f>X36-X37</x:f>
        <x:v>347505.7494661308</x:v>
      </x:c>
      <x:c r="Y38" s="64" t="n">
        <x:f>Y36-Y37</x:f>
        <x:v>343426.238504226</x:v>
      </x:c>
      <x:c r="Z38" s="64" t="n">
        <x:f>Z36-Z37</x:f>
        <x:v>338098.8845556546</x:v>
      </x:c>
      <x:c r="AA38" s="64" t="n">
        <x:f>AA36-AA37</x:f>
        <x:v>335534.6115061308</x:v>
      </x:c>
      <x:c r="AB38" s="64" t="n">
        <x:f>AB36-AB37</x:f>
        <x:v>341230.8767243791</x:v>
      </x:c>
      <x:c r="AC38" s="64" t="n">
        <x:f>AC36-AC37</x:f>
        <x:v>355365.0394219417</x:v>
      </x:c>
      <x:c r="AD38" s="64" t="n">
        <x:f>AD36-AD37</x:f>
        <x:v>370101.9090823124</x:v>
      </x:c>
      <x:c r="AE38" s="64" t="n">
        <x:f>AE36-AE37</x:f>
        <x:v>387494.70455405733</x:v>
      </x:c>
      <x:c r="AF38" s="64" t="n">
        <x:f>AF36-AF37</x:f>
        <x:v>401628.86725161993</x:v>
      </x:c>
      <x:c r="AG38" s="64" t="n">
        <x:f>AG36-AG37</x:f>
        <x:v>393000.0000000001</x:v>
      </x:c>
      <x:c r="AH38" s="64" t="n">
        <x:f>AH36-AH37</x:f>
        <x:v>404798.67321668105</x:v>
      </x:c>
      <x:c r="AI38" s="64" t="n">
        <x:f>AI36-AI37</x:f>
        <x:v>410494.93843492935</x:v>
      </x:c>
      <x:c r="AJ38" s="64" t="n">
        <x:f>AJ36-AJ37</x:f>
        <x:v>404143.5716044828</x:v>
      </x:c>
      <x:c r="AK38" s="64" t="n">
        <x:f>AK36-AK37</x:f>
        <x:v>405319.5346016698</x:v>
      </x:c>
      <x:c r="AL38" s="64" t="n">
        <x:f>AL36-AL37</x:f>
        <x:v>405440.7604139426</x:v>
      </x:c>
      <x:c r="AM38" s="64" t="n">
        <x:f>AM36-AM37</x:f>
        <x:v>406020.5236557899</x:v>
      </x:c>
      <x:c r="AN38" s="64" t="n">
        <x:f>AN36-AN37</x:f>
        <x:v>411944.5520957873</x:v>
      </x:c>
      <x:c r="AO38" s="64" t="n">
        <x:f>AO36-AO37</x:f>
        <x:v>426570.7904301847</x:v>
      </x:c>
      <x:c r="AP38" s="64" t="n">
        <x:f>AP36-AP37</x:f>
        <x:v>423597.9725658431</x:v>
      </x:c>
      <x:c r="AQ38" s="64" t="n">
        <x:f>AQ36-AQ37</x:f>
        <x:v>440632.2092255738</x:v>
      </x:c>
      <x:c r="AR38" s="64" t="n">
        <x:f>AR36-AR37</x:f>
        <x:v>455258.4475599712</x:v>
      </x:c>
      <x:c r="AS38" s="64" t="n">
        <x:f>AS36-AS37</x:f>
        <x:v>444177.285243363</x:v>
      </x:c>
      <x:c r="AT38" s="64" t="n">
        <x:f>AT36-AT37</x:f>
        <x:v>456394.87619627465</x:v>
      </x:c>
      <x:c r="AU38" s="64" t="n">
        <x:f>AU36-AU37</x:f>
        <x:v>462318.90463627205</x:v>
      </x:c>
      <x:c r="AV38" s="64" t="n">
        <x:f>AV36-AV37</x:f>
        <x:v>455743.91934404476</x:v>
      </x:c>
      <x:c r="AW38" s="64" t="n">
        <x:f>AW36-AW37</x:f>
        <x:v>457006.0496263279</x:v>
      </x:c>
      <x:c r="AX38" s="64" t="n">
        <x:f>AX36-AX37</x:f>
        <x:v>457180.403671811</x:v>
      </x:c>
      <x:c r="AY38" s="64" t="n">
        <x:f>AY36-AY37</x:f>
        <x:v>457753.6622214123</x:v>
      </x:c>
      <x:c r="AZ38" s="64" t="n">
        <x:f>AZ36-AZ37</x:f>
        <x:v>463871.9319378651</x:v>
      </x:c>
      <x:c r="BA38" s="64" t="n">
        <x:f>BA36-BA37</x:f>
        <x:v>478956.7239638036</x:v>
      </x:c>
      <x:c r="BB38" s="64" t="n">
        <x:f>BB36-BB37</x:f>
        <x:v>475433.9297114874</x:v>
      </x:c>
      <x:c r="BC38" s="64" t="n">
        <x:f>BC36-BC37</x:f>
        <x:v>492076.0856139102</x:v>
      </x:c>
      <x:c r="BD38" s="64" t="n">
        <x:f>BD36-BD37</x:f>
        <x:v>507160.87763984874</x:v>
      </x:c>
      <x:c r="BE38" s="64" t="n">
        <x:f>BE36-BE37</x:f>
        <x:v>497078.5185207026</x:v>
      </x:c>
      <x:c r="BF38" s="64" t="n">
        <x:f>BF36-BF37</x:f>
        <x:v>509681.5052645513</x:v>
      </x:c>
      <x:c r="BG38" s="64" t="n">
        <x:f>BG36-BG37</x:f>
        <x:v>515799.7749810041</x:v>
      </x:c>
      <x:c r="BH38" s="64" t="n">
        <x:f>BH36-BH37</x:f>
        <x:v>509017.93219964305</x:v>
      </x:c>
      <x:c r="BI38" s="64" t="n">
        <x:f>BI36-BI37</x:f>
        <x:v>510332.7078217285</x:v>
      </x:c>
      <x:c r="BJ38" s="64" t="n">
        <x:f>BJ36-BJ37</x:f>
        <x:v>510526.66815512825</x:v>
      </x:c>
      <x:c r="BK38" s="64" t="n">
        <x:f>BK36-BK37</x:f>
        <x:v>511110.18298513046</x:v>
      </x:c>
    </x:row>
    <x:row r="39" ht="21" customHeight="1">
      <x:c r="A39" s="2"/>
      <x:c r="B39" s="2"/>
      <x:c r="C39" s="2" t="str">
        <x:v>Cash floor shortfall</x:v>
      </x:c>
      <x:c r="D39" s="22" t="n">
        <x:f>MAX(0,'Inputs'!$D$20-D38)</x:f>
        <x:v>0</x:v>
      </x:c>
      <x:c r="E39" s="22" t="n">
        <x:f>MAX(0,'Inputs'!$D$20-E38)</x:f>
        <x:v>0</x:v>
      </x:c>
      <x:c r="F39" s="22" t="n">
        <x:f>MAX(0,'Inputs'!$D$20-F38)</x:f>
        <x:v>0</x:v>
      </x:c>
      <x:c r="G39" s="22" t="n">
        <x:f>MAX(0,'Inputs'!$D$20-G38)</x:f>
        <x:v>0</x:v>
      </x:c>
      <x:c r="H39" s="22" t="n">
        <x:f>MAX(0,'Inputs'!$D$20-H38)</x:f>
        <x:v>0</x:v>
      </x:c>
      <x:c r="I39" s="22" t="n">
        <x:f>MAX(0,'Inputs'!$D$20-I38)</x:f>
        <x:v>0</x:v>
      </x:c>
      <x:c r="J39" s="22" t="n">
        <x:f>MAX(0,'Inputs'!$D$20-J38)</x:f>
        <x:v>0</x:v>
      </x:c>
      <x:c r="K39" s="22" t="n">
        <x:f>MAX(0,'Inputs'!$D$20-K38)</x:f>
        <x:v>0</x:v>
      </x:c>
      <x:c r="L39" s="22" t="n">
        <x:f>MAX(0,'Inputs'!$D$20-L38)</x:f>
        <x:v>0</x:v>
      </x:c>
      <x:c r="M39" s="22" t="n">
        <x:f>MAX(0,'Inputs'!$D$20-M38)</x:f>
        <x:v>0</x:v>
      </x:c>
      <x:c r="N39" s="22" t="n">
        <x:f>MAX(0,'Inputs'!$D$20-N38)</x:f>
        <x:v>0</x:v>
      </x:c>
      <x:c r="O39" s="22" t="n">
        <x:f>MAX(0,'Inputs'!$D$20-O38)</x:f>
        <x:v>0</x:v>
      </x:c>
      <x:c r="P39" s="22" t="n">
        <x:f>MAX(0,'Inputs'!$D$20-P38)</x:f>
        <x:v>0</x:v>
      </x:c>
      <x:c r="Q39" s="22" t="n">
        <x:f>MAX(0,'Inputs'!$D$20-Q38)</x:f>
        <x:v>0</x:v>
      </x:c>
      <x:c r="R39" s="22" t="n">
        <x:f>MAX(0,'Inputs'!$D$20-R38)</x:f>
        <x:v>0</x:v>
      </x:c>
      <x:c r="S39" s="22" t="n">
        <x:f>MAX(0,'Inputs'!$D$20-S38)</x:f>
        <x:v>0</x:v>
      </x:c>
      <x:c r="T39" s="22" t="n">
        <x:f>MAX(0,'Inputs'!$D$20-T38)</x:f>
        <x:v>0</x:v>
      </x:c>
      <x:c r="U39" s="36" t="n">
        <x:f>MAX(0,'Inputs'!$D$20-U38)</x:f>
        <x:v>0</x:v>
      </x:c>
      <x:c r="V39" s="36" t="n">
        <x:f>MAX(0,'Inputs'!$D$20-V38)</x:f>
        <x:v>0</x:v>
      </x:c>
      <x:c r="W39" s="36" t="n">
        <x:f>MAX(0,'Inputs'!$D$20-W38)</x:f>
        <x:v>0</x:v>
      </x:c>
      <x:c r="X39" s="36" t="n">
        <x:f>MAX(0,'Inputs'!$D$20-X38)</x:f>
        <x:v>0</x:v>
      </x:c>
      <x:c r="Y39" s="36" t="n">
        <x:f>MAX(0,'Inputs'!$D$20-Y38)</x:f>
        <x:v>0</x:v>
      </x:c>
      <x:c r="Z39" s="36" t="n">
        <x:f>MAX(0,'Inputs'!$D$20-Z38)</x:f>
        <x:v>0</x:v>
      </x:c>
      <x:c r="AA39" s="36" t="n">
        <x:f>MAX(0,'Inputs'!$D$20-AA38)</x:f>
        <x:v>0</x:v>
      </x:c>
      <x:c r="AB39" s="36" t="n">
        <x:f>MAX(0,'Inputs'!$D$20-AB38)</x:f>
        <x:v>0</x:v>
      </x:c>
      <x:c r="AC39" s="36" t="n">
        <x:f>MAX(0,'Inputs'!$D$20-AC38)</x:f>
        <x:v>0</x:v>
      </x:c>
      <x:c r="AD39" s="36" t="n">
        <x:f>MAX(0,'Inputs'!$D$20-AD38)</x:f>
        <x:v>0</x:v>
      </x:c>
      <x:c r="AE39" s="36" t="n">
        <x:f>MAX(0,'Inputs'!$D$20-AE38)</x:f>
        <x:v>0</x:v>
      </x:c>
      <x:c r="AF39" s="36" t="n">
        <x:f>MAX(0,'Inputs'!$D$20-AF38)</x:f>
        <x:v>0</x:v>
      </x:c>
      <x:c r="AG39" s="36" t="n">
        <x:f>MAX(0,'Inputs'!$D$20-AG38)</x:f>
        <x:v>0</x:v>
      </x:c>
      <x:c r="AH39" s="36" t="n">
        <x:f>MAX(0,'Inputs'!$D$20-AH38)</x:f>
        <x:v>0</x:v>
      </x:c>
      <x:c r="AI39" s="36" t="n">
        <x:f>MAX(0,'Inputs'!$D$20-AI38)</x:f>
        <x:v>0</x:v>
      </x:c>
      <x:c r="AJ39" s="36" t="n">
        <x:f>MAX(0,'Inputs'!$D$20-AJ38)</x:f>
        <x:v>0</x:v>
      </x:c>
      <x:c r="AK39" s="36" t="n">
        <x:f>MAX(0,'Inputs'!$D$20-AK38)</x:f>
        <x:v>0</x:v>
      </x:c>
      <x:c r="AL39" s="36" t="n">
        <x:f>MAX(0,'Inputs'!$D$20-AL38)</x:f>
        <x:v>0</x:v>
      </x:c>
      <x:c r="AM39" s="36" t="n">
        <x:f>MAX(0,'Inputs'!$D$20-AM38)</x:f>
        <x:v>0</x:v>
      </x:c>
      <x:c r="AN39" s="36" t="n">
        <x:f>MAX(0,'Inputs'!$D$20-AN38)</x:f>
        <x:v>0</x:v>
      </x:c>
      <x:c r="AO39" s="36" t="n">
        <x:f>MAX(0,'Inputs'!$D$20-AO38)</x:f>
        <x:v>0</x:v>
      </x:c>
      <x:c r="AP39" s="36" t="n">
        <x:f>MAX(0,'Inputs'!$D$20-AP38)</x:f>
        <x:v>0</x:v>
      </x:c>
      <x:c r="AQ39" s="36" t="n">
        <x:f>MAX(0,'Inputs'!$D$20-AQ38)</x:f>
        <x:v>0</x:v>
      </x:c>
      <x:c r="AR39" s="36" t="n">
        <x:f>MAX(0,'Inputs'!$D$20-AR38)</x:f>
        <x:v>0</x:v>
      </x:c>
      <x:c r="AS39" s="36" t="n">
        <x:f>MAX(0,'Inputs'!$D$20-AS38)</x:f>
        <x:v>0</x:v>
      </x:c>
      <x:c r="AT39" s="36" t="n">
        <x:f>MAX(0,'Inputs'!$D$20-AT38)</x:f>
        <x:v>0</x:v>
      </x:c>
      <x:c r="AU39" s="36" t="n">
        <x:f>MAX(0,'Inputs'!$D$20-AU38)</x:f>
        <x:v>0</x:v>
      </x:c>
      <x:c r="AV39" s="36" t="n">
        <x:f>MAX(0,'Inputs'!$D$20-AV38)</x:f>
        <x:v>0</x:v>
      </x:c>
      <x:c r="AW39" s="36" t="n">
        <x:f>MAX(0,'Inputs'!$D$20-AW38)</x:f>
        <x:v>0</x:v>
      </x:c>
      <x:c r="AX39" s="36" t="n">
        <x:f>MAX(0,'Inputs'!$D$20-AX38)</x:f>
        <x:v>0</x:v>
      </x:c>
      <x:c r="AY39" s="36" t="n">
        <x:f>MAX(0,'Inputs'!$D$20-AY38)</x:f>
        <x:v>0</x:v>
      </x:c>
      <x:c r="AZ39" s="36" t="n">
        <x:f>MAX(0,'Inputs'!$D$20-AZ38)</x:f>
        <x:v>0</x:v>
      </x:c>
      <x:c r="BA39" s="36" t="n">
        <x:f>MAX(0,'Inputs'!$D$20-BA38)</x:f>
        <x:v>0</x:v>
      </x:c>
      <x:c r="BB39" s="36" t="n">
        <x:f>MAX(0,'Inputs'!$D$20-BB38)</x:f>
        <x:v>0</x:v>
      </x:c>
      <x:c r="BC39" s="36" t="n">
        <x:f>MAX(0,'Inputs'!$D$20-BC38)</x:f>
        <x:v>0</x:v>
      </x:c>
      <x:c r="BD39" s="36" t="n">
        <x:f>MAX(0,'Inputs'!$D$20-BD38)</x:f>
        <x:v>0</x:v>
      </x:c>
      <x:c r="BE39" s="36" t="n">
        <x:f>MAX(0,'Inputs'!$D$20-BE38)</x:f>
        <x:v>0</x:v>
      </x:c>
      <x:c r="BF39" s="36" t="n">
        <x:f>MAX(0,'Inputs'!$D$20-BF38)</x:f>
        <x:v>0</x:v>
      </x:c>
      <x:c r="BG39" s="36" t="n">
        <x:f>MAX(0,'Inputs'!$D$20-BG38)</x:f>
        <x:v>0</x:v>
      </x:c>
      <x:c r="BH39" s="36" t="n">
        <x:f>MAX(0,'Inputs'!$D$20-BH38)</x:f>
        <x:v>0</x:v>
      </x:c>
      <x:c r="BI39" s="36" t="n">
        <x:f>MAX(0,'Inputs'!$D$20-BI38)</x:f>
        <x:v>0</x:v>
      </x:c>
      <x:c r="BJ39" s="36" t="n">
        <x:f>MAX(0,'Inputs'!$D$20-BJ38)</x:f>
        <x:v>0</x:v>
      </x:c>
      <x:c r="BK39" s="36" t="n">
        <x:f>MAX(0,'Inputs'!$D$20-BK38)</x:f>
        <x:v>0</x:v>
      </x:c>
    </x:row>
    <x:row r="40" ht="21" customHeight="1">
      <x:c r="A40" s="2"/>
      <x:c r="B40" s="2"/>
      <x:c r="C40" s="2" t="str">
        <x:v>Cash below zero</x:v>
      </x:c>
      <x:c r="D40" s="8" t="n">
        <x:f>MAX(0,-D38)</x:f>
        <x:v>0</x:v>
      </x:c>
      <x:c r="E40" s="8" t="n">
        <x:f>MAX(0,-E38)</x:f>
        <x:v>0</x:v>
      </x:c>
      <x:c r="F40" s="8" t="n">
        <x:f>MAX(0,-F38)</x:f>
        <x:v>0</x:v>
      </x:c>
      <x:c r="G40" s="8" t="n">
        <x:f>MAX(0,-G38)</x:f>
        <x:v>0</x:v>
      </x:c>
      <x:c r="H40" s="8" t="n">
        <x:f>MAX(0,-H38)</x:f>
        <x:v>0</x:v>
      </x:c>
      <x:c r="I40" s="8" t="n">
        <x:f>MAX(0,-I38)</x:f>
        <x:v>0</x:v>
      </x:c>
      <x:c r="J40" s="8" t="n">
        <x:f>MAX(0,-J38)</x:f>
        <x:v>0</x:v>
      </x:c>
      <x:c r="K40" s="8" t="n">
        <x:f>MAX(0,-K38)</x:f>
        <x:v>0</x:v>
      </x:c>
      <x:c r="L40" s="8" t="n">
        <x:f>MAX(0,-L38)</x:f>
        <x:v>0</x:v>
      </x:c>
      <x:c r="M40" s="8" t="n">
        <x:f>MAX(0,-M38)</x:f>
        <x:v>0</x:v>
      </x:c>
      <x:c r="N40" s="8" t="n">
        <x:f>MAX(0,-N38)</x:f>
        <x:v>0</x:v>
      </x:c>
      <x:c r="O40" s="8" t="n">
        <x:f>MAX(0,-O38)</x:f>
        <x:v>0</x:v>
      </x:c>
      <x:c r="P40" s="8" t="n">
        <x:f>MAX(0,-P38)</x:f>
        <x:v>0</x:v>
      </x:c>
      <x:c r="Q40" s="8" t="n">
        <x:f>MAX(0,-Q38)</x:f>
        <x:v>0</x:v>
      </x:c>
      <x:c r="R40" s="8" t="n">
        <x:f>MAX(0,-R38)</x:f>
        <x:v>0</x:v>
      </x:c>
      <x:c r="S40" s="8" t="n">
        <x:f>MAX(0,-S38)</x:f>
        <x:v>0</x:v>
      </x:c>
      <x:c r="T40" s="8" t="n">
        <x:f>MAX(0,-T38)</x:f>
        <x:v>0</x:v>
      </x:c>
      <x:c r="U40" s="35" t="n">
        <x:f>MAX(0,-U38)</x:f>
        <x:v>0</x:v>
      </x:c>
      <x:c r="V40" s="35" t="n">
        <x:f>MAX(0,-V38)</x:f>
        <x:v>0</x:v>
      </x:c>
      <x:c r="W40" s="35" t="n">
        <x:f>MAX(0,-W38)</x:f>
        <x:v>0</x:v>
      </x:c>
      <x:c r="X40" s="35" t="n">
        <x:f>MAX(0,-X38)</x:f>
        <x:v>0</x:v>
      </x:c>
      <x:c r="Y40" s="35" t="n">
        <x:f>MAX(0,-Y38)</x:f>
        <x:v>0</x:v>
      </x:c>
      <x:c r="Z40" s="35" t="n">
        <x:f>MAX(0,-Z38)</x:f>
        <x:v>0</x:v>
      </x:c>
      <x:c r="AA40" s="35" t="n">
        <x:f>MAX(0,-AA38)</x:f>
        <x:v>0</x:v>
      </x:c>
      <x:c r="AB40" s="35" t="n">
        <x:f>MAX(0,-AB38)</x:f>
        <x:v>0</x:v>
      </x:c>
      <x:c r="AC40" s="35" t="n">
        <x:f>MAX(0,-AC38)</x:f>
        <x:v>0</x:v>
      </x:c>
      <x:c r="AD40" s="35" t="n">
        <x:f>MAX(0,-AD38)</x:f>
        <x:v>0</x:v>
      </x:c>
      <x:c r="AE40" s="35" t="n">
        <x:f>MAX(0,-AE38)</x:f>
        <x:v>0</x:v>
      </x:c>
      <x:c r="AF40" s="35" t="n">
        <x:f>MAX(0,-AF38)</x:f>
        <x:v>0</x:v>
      </x:c>
      <x:c r="AG40" s="35" t="n">
        <x:f>MAX(0,-AG38)</x:f>
        <x:v>0</x:v>
      </x:c>
      <x:c r="AH40" s="35" t="n">
        <x:f>MAX(0,-AH38)</x:f>
        <x:v>0</x:v>
      </x:c>
      <x:c r="AI40" s="35" t="n">
        <x:f>MAX(0,-AI38)</x:f>
        <x:v>0</x:v>
      </x:c>
      <x:c r="AJ40" s="35" t="n">
        <x:f>MAX(0,-AJ38)</x:f>
        <x:v>0</x:v>
      </x:c>
      <x:c r="AK40" s="35" t="n">
        <x:f>MAX(0,-AK38)</x:f>
        <x:v>0</x:v>
      </x:c>
      <x:c r="AL40" s="35" t="n">
        <x:f>MAX(0,-AL38)</x:f>
        <x:v>0</x:v>
      </x:c>
      <x:c r="AM40" s="35" t="n">
        <x:f>MAX(0,-AM38)</x:f>
        <x:v>0</x:v>
      </x:c>
      <x:c r="AN40" s="35" t="n">
        <x:f>MAX(0,-AN38)</x:f>
        <x:v>0</x:v>
      </x:c>
      <x:c r="AO40" s="35" t="n">
        <x:f>MAX(0,-AO38)</x:f>
        <x:v>0</x:v>
      </x:c>
      <x:c r="AP40" s="35" t="n">
        <x:f>MAX(0,-AP38)</x:f>
        <x:v>0</x:v>
      </x:c>
      <x:c r="AQ40" s="35" t="n">
        <x:f>MAX(0,-AQ38)</x:f>
        <x:v>0</x:v>
      </x:c>
      <x:c r="AR40" s="35" t="n">
        <x:f>MAX(0,-AR38)</x:f>
        <x:v>0</x:v>
      </x:c>
      <x:c r="AS40" s="35" t="n">
        <x:f>MAX(0,-AS38)</x:f>
        <x:v>0</x:v>
      </x:c>
      <x:c r="AT40" s="35" t="n">
        <x:f>MAX(0,-AT38)</x:f>
        <x:v>0</x:v>
      </x:c>
      <x:c r="AU40" s="35" t="n">
        <x:f>MAX(0,-AU38)</x:f>
        <x:v>0</x:v>
      </x:c>
      <x:c r="AV40" s="35" t="n">
        <x:f>MAX(0,-AV38)</x:f>
        <x:v>0</x:v>
      </x:c>
      <x:c r="AW40" s="35" t="n">
        <x:f>MAX(0,-AW38)</x:f>
        <x:v>0</x:v>
      </x:c>
      <x:c r="AX40" s="35" t="n">
        <x:f>MAX(0,-AX38)</x:f>
        <x:v>0</x:v>
      </x:c>
      <x:c r="AY40" s="35" t="n">
        <x:f>MAX(0,-AY38)</x:f>
        <x:v>0</x:v>
      </x:c>
      <x:c r="AZ40" s="35" t="n">
        <x:f>MAX(0,-AZ38)</x:f>
        <x:v>0</x:v>
      </x:c>
      <x:c r="BA40" s="35" t="n">
        <x:f>MAX(0,-BA38)</x:f>
        <x:v>0</x:v>
      </x:c>
      <x:c r="BB40" s="35" t="n">
        <x:f>MAX(0,-BB38)</x:f>
        <x:v>0</x:v>
      </x:c>
      <x:c r="BC40" s="35" t="n">
        <x:f>MAX(0,-BC38)</x:f>
        <x:v>0</x:v>
      </x:c>
      <x:c r="BD40" s="35" t="n">
        <x:f>MAX(0,-BD38)</x:f>
        <x:v>0</x:v>
      </x:c>
      <x:c r="BE40" s="35" t="n">
        <x:f>MAX(0,-BE38)</x:f>
        <x:v>0</x:v>
      </x:c>
      <x:c r="BF40" s="35" t="n">
        <x:f>MAX(0,-BF38)</x:f>
        <x:v>0</x:v>
      </x:c>
      <x:c r="BG40" s="35" t="n">
        <x:f>MAX(0,-BG38)</x:f>
        <x:v>0</x:v>
      </x:c>
      <x:c r="BH40" s="35" t="n">
        <x:f>MAX(0,-BH38)</x:f>
        <x:v>0</x:v>
      </x:c>
      <x:c r="BI40" s="35" t="n">
        <x:f>MAX(0,-BI38)</x:f>
        <x:v>0</x:v>
      </x:c>
      <x:c r="BJ40" s="35" t="n">
        <x:f>MAX(0,-BJ38)</x:f>
        <x:v>0</x:v>
      </x:c>
      <x:c r="BK40" s="35" t="n">
        <x:f>MAX(0,-BK38)</x:f>
        <x:v>0</x:v>
      </x:c>
    </x:row>
    <x:row r="41" ht="21" customHeight="1">
      <x:c r="A41" s="2"/>
      <x:c r="B41" s="2"/>
      <x:c r="C41" s="2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  <x:c r="T41" s="3"/>
      <x:c r="U41" s="34"/>
      <x:c r="V41" s="34"/>
      <x:c r="W41" s="34"/>
      <x:c r="X41" s="34"/>
      <x:c r="Y41" s="34"/>
      <x:c r="Z41" s="34"/>
      <x:c r="AA41" s="34"/>
      <x:c r="AB41" s="34"/>
      <x:c r="AC41" s="34"/>
      <x:c r="AD41" s="34"/>
      <x:c r="AE41" s="34"/>
      <x:c r="AF41" s="34"/>
      <x:c r="AG41" s="34"/>
      <x:c r="AH41" s="34"/>
      <x:c r="AI41" s="34"/>
      <x:c r="AJ41" s="34"/>
      <x:c r="AK41" s="34"/>
      <x:c r="AL41" s="34"/>
      <x:c r="AM41" s="34"/>
      <x:c r="AN41" s="34"/>
      <x:c r="AO41" s="34"/>
      <x:c r="AP41" s="34"/>
      <x:c r="AQ41" s="34"/>
      <x:c r="AR41" s="34"/>
      <x:c r="AS41" s="34"/>
      <x:c r="AT41" s="34"/>
      <x:c r="AU41" s="34"/>
      <x:c r="AV41" s="34"/>
      <x:c r="AW41" s="34"/>
      <x:c r="AX41" s="34"/>
      <x:c r="AY41" s="34"/>
      <x:c r="AZ41" s="34"/>
      <x:c r="BA41" s="34"/>
      <x:c r="BB41" s="34"/>
      <x:c r="BC41" s="34"/>
      <x:c r="BD41" s="34"/>
      <x:c r="BE41" s="34"/>
      <x:c r="BF41" s="34"/>
      <x:c r="BG41" s="34"/>
      <x:c r="BH41" s="34"/>
      <x:c r="BI41" s="34"/>
      <x:c r="BJ41" s="34"/>
      <x:c r="BK41" s="34"/>
    </x:row>
    <x:row r="42" ht="21" customHeight="1">
      <x:c r="A42" s="2"/>
      <x:c r="B42" s="2"/>
      <x:c r="C42" s="2" t="str">
        <x:v>Cash reconciliation difference</x:v>
      </x:c>
      <x:c r="D42" s="8" t="n">
        <x:f>D35+D32-D37-D38</x:f>
        <x:v>0</x:v>
      </x:c>
      <x:c r="E42" s="8" t="n">
        <x:f>E35+E32-E37-E38</x:f>
        <x:v>0</x:v>
      </x:c>
      <x:c r="F42" s="8" t="n">
        <x:f>F35+F32-F37-F38</x:f>
        <x:v>0</x:v>
      </x:c>
      <x:c r="G42" s="8" t="n">
        <x:f>G35+G32-G37-G38</x:f>
        <x:v>0</x:v>
      </x:c>
      <x:c r="H42" s="8" t="n">
        <x:f>H35+H32-H37-H38</x:f>
        <x:v>0</x:v>
      </x:c>
      <x:c r="I42" s="8" t="n">
        <x:f>I35+I32-I37-I38</x:f>
        <x:v>0</x:v>
      </x:c>
      <x:c r="J42" s="8" t="n">
        <x:f>J35+J32-J37-J38</x:f>
        <x:v>0</x:v>
      </x:c>
      <x:c r="K42" s="8" t="n">
        <x:f>K35+K32-K37-K38</x:f>
        <x:v>0</x:v>
      </x:c>
      <x:c r="L42" s="8" t="n">
        <x:f>L35+L32-L37-L38</x:f>
        <x:v>0</x:v>
      </x:c>
      <x:c r="M42" s="8" t="n">
        <x:f>M35+M32-M37-M38</x:f>
        <x:v>0</x:v>
      </x:c>
      <x:c r="N42" s="8" t="n">
        <x:f>N35+N32-N37-N38</x:f>
        <x:v>0</x:v>
      </x:c>
      <x:c r="O42" s="8" t="n">
        <x:f>O35+O32-O37-O38</x:f>
        <x:v>0</x:v>
      </x:c>
      <x:c r="P42" s="8" t="n">
        <x:f>P35+P32-P37-P38</x:f>
        <x:v>0</x:v>
      </x:c>
      <x:c r="Q42" s="8" t="n">
        <x:f>Q35+Q32-Q37-Q38</x:f>
        <x:v>0</x:v>
      </x:c>
      <x:c r="R42" s="8" t="n">
        <x:f>R35+R32-R37-R38</x:f>
        <x:v>0</x:v>
      </x:c>
      <x:c r="S42" s="8" t="n">
        <x:f>S35+S32-S37-S38</x:f>
        <x:v>0</x:v>
      </x:c>
      <x:c r="T42" s="8" t="n">
        <x:f>T35+T32-T37-T38</x:f>
        <x:v>0</x:v>
      </x:c>
      <x:c r="U42" s="35" t="n">
        <x:f>U35+U32-U37-U38</x:f>
        <x:v>0</x:v>
      </x:c>
      <x:c r="V42" s="35" t="n">
        <x:f>V35+V32-V37-V38</x:f>
        <x:v>0</x:v>
      </x:c>
      <x:c r="W42" s="35" t="n">
        <x:f>W35+W32-W37-W38</x:f>
        <x:v>0</x:v>
      </x:c>
      <x:c r="X42" s="35" t="n">
        <x:f>X35+X32-X37-X38</x:f>
        <x:v>0</x:v>
      </x:c>
      <x:c r="Y42" s="35" t="n">
        <x:f>Y35+Y32-Y37-Y38</x:f>
        <x:v>0</x:v>
      </x:c>
      <x:c r="Z42" s="35" t="n">
        <x:f>Z35+Z32-Z37-Z38</x:f>
        <x:v>0</x:v>
      </x:c>
      <x:c r="AA42" s="35" t="n">
        <x:f>AA35+AA32-AA37-AA38</x:f>
        <x:v>0</x:v>
      </x:c>
      <x:c r="AB42" s="35" t="n">
        <x:f>AB35+AB32-AB37-AB38</x:f>
        <x:v>0</x:v>
      </x:c>
      <x:c r="AC42" s="35" t="n">
        <x:f>AC35+AC32-AC37-AC38</x:f>
        <x:v>0</x:v>
      </x:c>
      <x:c r="AD42" s="35" t="n">
        <x:f>AD35+AD32-AD37-AD38</x:f>
        <x:v>0</x:v>
      </x:c>
      <x:c r="AE42" s="35" t="n">
        <x:f>AE35+AE32-AE37-AE38</x:f>
        <x:v>0</x:v>
      </x:c>
      <x:c r="AF42" s="35" t="n">
        <x:f>AF35+AF32-AF37-AF38</x:f>
        <x:v>0</x:v>
      </x:c>
      <x:c r="AG42" s="35" t="n">
        <x:f>AG35+AG32-AG37-AG38</x:f>
        <x:v>0</x:v>
      </x:c>
      <x:c r="AH42" s="35" t="n">
        <x:f>AH35+AH32-AH37-AH38</x:f>
        <x:v>0</x:v>
      </x:c>
      <x:c r="AI42" s="35" t="n">
        <x:f>AI35+AI32-AI37-AI38</x:f>
        <x:v>0</x:v>
      </x:c>
      <x:c r="AJ42" s="35" t="n">
        <x:f>AJ35+AJ32-AJ37-AJ38</x:f>
        <x:v>0</x:v>
      </x:c>
      <x:c r="AK42" s="35" t="n">
        <x:f>AK35+AK32-AK37-AK38</x:f>
        <x:v>0</x:v>
      </x:c>
      <x:c r="AL42" s="35" t="n">
        <x:f>AL35+AL32-AL37-AL38</x:f>
        <x:v>0</x:v>
      </x:c>
      <x:c r="AM42" s="35" t="n">
        <x:f>AM35+AM32-AM37-AM38</x:f>
        <x:v>0</x:v>
      </x:c>
      <x:c r="AN42" s="35" t="n">
        <x:f>AN35+AN32-AN37-AN38</x:f>
        <x:v>0</x:v>
      </x:c>
      <x:c r="AO42" s="35" t="n">
        <x:f>AO35+AO32-AO37-AO38</x:f>
        <x:v>0</x:v>
      </x:c>
      <x:c r="AP42" s="35" t="n">
        <x:f>AP35+AP32-AP37-AP38</x:f>
        <x:v>0</x:v>
      </x:c>
      <x:c r="AQ42" s="35" t="n">
        <x:f>AQ35+AQ32-AQ37-AQ38</x:f>
        <x:v>0</x:v>
      </x:c>
      <x:c r="AR42" s="35" t="n">
        <x:f>AR35+AR32-AR37-AR38</x:f>
        <x:v>0</x:v>
      </x:c>
      <x:c r="AS42" s="35" t="n">
        <x:f>AS35+AS32-AS37-AS38</x:f>
        <x:v>0</x:v>
      </x:c>
      <x:c r="AT42" s="35" t="n">
        <x:f>AT35+AT32-AT37-AT38</x:f>
        <x:v>0</x:v>
      </x:c>
      <x:c r="AU42" s="35" t="n">
        <x:f>AU35+AU32-AU37-AU38</x:f>
        <x:v>0</x:v>
      </x:c>
      <x:c r="AV42" s="35" t="n">
        <x:f>AV35+AV32-AV37-AV38</x:f>
        <x:v>0</x:v>
      </x:c>
      <x:c r="AW42" s="35" t="n">
        <x:f>AW35+AW32-AW37-AW38</x:f>
        <x:v>0</x:v>
      </x:c>
      <x:c r="AX42" s="35" t="n">
        <x:f>AX35+AX32-AX37-AX38</x:f>
        <x:v>0</x:v>
      </x:c>
      <x:c r="AY42" s="35" t="n">
        <x:f>AY35+AY32-AY37-AY38</x:f>
        <x:v>0</x:v>
      </x:c>
      <x:c r="AZ42" s="35" t="n">
        <x:f>AZ35+AZ32-AZ37-AZ38</x:f>
        <x:v>0</x:v>
      </x:c>
      <x:c r="BA42" s="35" t="n">
        <x:f>BA35+BA32-BA37-BA38</x:f>
        <x:v>0</x:v>
      </x:c>
      <x:c r="BB42" s="35" t="n">
        <x:f>BB35+BB32-BB37-BB38</x:f>
        <x:v>0</x:v>
      </x:c>
      <x:c r="BC42" s="35" t="n">
        <x:f>BC35+BC32-BC37-BC38</x:f>
        <x:v>0</x:v>
      </x:c>
      <x:c r="BD42" s="35" t="n">
        <x:f>BD35+BD32-BD37-BD38</x:f>
        <x:v>0</x:v>
      </x:c>
      <x:c r="BE42" s="35" t="n">
        <x:f>BE35+BE32-BE37-BE38</x:f>
        <x:v>0</x:v>
      </x:c>
      <x:c r="BF42" s="35" t="n">
        <x:f>BF35+BF32-BF37-BF38</x:f>
        <x:v>0</x:v>
      </x:c>
      <x:c r="BG42" s="35" t="n">
        <x:f>BG35+BG32-BG37-BG38</x:f>
        <x:v>0</x:v>
      </x:c>
      <x:c r="BH42" s="35" t="n">
        <x:f>BH35+BH32-BH37-BH38</x:f>
        <x:v>0</x:v>
      </x:c>
      <x:c r="BI42" s="35" t="n">
        <x:f>BI35+BI32-BI37-BI38</x:f>
        <x:v>0</x:v>
      </x:c>
      <x:c r="BJ42" s="35" t="n">
        <x:f>BJ35+BJ32-BJ37-BJ38</x:f>
        <x:v>0</x:v>
      </x:c>
      <x:c r="BK42" s="35" t="n">
        <x:f>BK35+BK32-BK37-BK38</x:f>
        <x:v>0</x:v>
      </x:c>
    </x:row>
    <x:row r="43" ht="21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1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1" customHeight="1">
      <x:c r="A45" s="2"/>
      <x:c r="B45" s="2"/>
      <x:c r="C45" s="2"/>
      <x:c r="D45" s="3"/>
      <x:c r="E45" s="3"/>
      <x:c r="F45" s="3"/>
      <x:c r="G45" s="3"/>
      <x:c r="H45" s="3"/>
      <x:c r="I45" s="3"/>
      <x:c r="J45" s="3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1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1" customHeight="1">
      <x:c r="A47" s="2"/>
      <x:c r="B47" s="2"/>
      <x:c r="C47" s="2"/>
      <x:c r="D47" s="3"/>
      <x:c r="E47" s="3"/>
      <x:c r="F47" s="3"/>
      <x:c r="G47" s="3"/>
      <x:c r="H47" s="3"/>
      <x:c r="I47" s="3"/>
      <x:c r="J47" s="3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1" customHeight="1">
      <x:c r="A48" s="2"/>
      <x:c r="B48" s="2"/>
      <x:c r="C48" s="2"/>
      <x:c r="D48" s="3"/>
      <x:c r="E48" s="3"/>
      <x:c r="F48" s="3"/>
      <x:c r="G48" s="3"/>
      <x:c r="H48" s="3"/>
      <x:c r="I48" s="3"/>
      <x:c r="J48" s="3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1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1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1" customHeight="1">
      <x:c r="A51" s="2"/>
      <x:c r="B51" s="2"/>
      <x:c r="C51" s="2"/>
      <x:c r="D51" s="3"/>
      <x:c r="E51" s="3"/>
      <x:c r="F51" s="3"/>
      <x:c r="G51" s="3"/>
      <x:c r="H51" s="3"/>
      <x:c r="I51" s="3"/>
      <x:c r="J51" s="3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1" customHeight="1">
      <x:c r="A52" s="2"/>
      <x:c r="B52" s="2"/>
      <x:c r="C52" s="2"/>
      <x:c r="D52" s="3"/>
      <x:c r="E52" s="3"/>
      <x:c r="F52" s="3"/>
      <x:c r="G52" s="3"/>
      <x:c r="H52" s="3"/>
      <x:c r="I52" s="3"/>
      <x:c r="J52" s="3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1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1" customHeight="1">
      <x:c r="A54" s="2"/>
      <x:c r="B54" s="2"/>
      <x:c r="C54" s="2"/>
      <x:c r="D54" s="3"/>
      <x:c r="E54" s="3"/>
      <x:c r="F54" s="3"/>
      <x:c r="G54" s="3"/>
      <x:c r="H54" s="3"/>
      <x:c r="I54" s="3"/>
      <x:c r="J54" s="3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1" customHeight="1">
      <x:c r="A55" s="2"/>
      <x:c r="B55" s="2"/>
      <x:c r="C55" s="2"/>
      <x:c r="D55" s="3"/>
      <x:c r="E55" s="3"/>
      <x:c r="F55" s="3"/>
      <x:c r="G55" s="3"/>
      <x:c r="H55" s="3"/>
      <x:c r="I55" s="3"/>
      <x:c r="J55" s="3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21" customHeight="1">
      <x:c r="A56" s="2"/>
      <x:c r="B56" s="2"/>
      <x:c r="C56" s="2"/>
      <x:c r="D56" s="3"/>
      <x:c r="E56" s="3"/>
      <x:c r="F56" s="3"/>
      <x:c r="G56" s="3"/>
      <x:c r="H56" s="3"/>
      <x:c r="I56" s="3"/>
      <x:c r="J56" s="3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21" customHeight="1">
      <x:c r="A57" s="2"/>
      <x:c r="B57" s="2"/>
      <x:c r="C57" s="2"/>
      <x:c r="D57" s="3"/>
      <x:c r="E57" s="3"/>
      <x:c r="F57" s="3"/>
      <x:c r="G57" s="3"/>
      <x:c r="H57" s="3"/>
      <x:c r="I57" s="3"/>
      <x:c r="J57" s="3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21" customHeight="1">
      <x:c r="A58" s="2"/>
      <x:c r="B58" s="2"/>
      <x:c r="C58" s="2"/>
      <x:c r="D58" s="3"/>
      <x:c r="E58" s="3"/>
      <x:c r="F58" s="3"/>
      <x:c r="G58" s="3"/>
      <x:c r="H58" s="3"/>
      <x:c r="I58" s="3"/>
      <x:c r="J58" s="3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21" customHeight="1">
      <x:c r="A59" s="2"/>
      <x:c r="B59" s="2"/>
      <x:c r="C59" s="2"/>
      <x:c r="D59" s="3"/>
      <x:c r="E59" s="3"/>
      <x:c r="F59" s="3"/>
      <x:c r="G59" s="3"/>
      <x:c r="H59" s="3"/>
      <x:c r="I59" s="3"/>
      <x:c r="J59" s="3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21" customHeight="1">
      <x:c r="A60" s="2"/>
      <x:c r="B60" s="2"/>
      <x:c r="C60" s="2"/>
      <x:c r="D60" s="3"/>
      <x:c r="E60" s="3"/>
      <x:c r="F60" s="3"/>
      <x:c r="G60" s="3"/>
      <x:c r="H60" s="3"/>
      <x:c r="I60" s="3"/>
      <x:c r="J60" s="3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21" customHeight="1">
      <x:c r="A61" s="2"/>
      <x:c r="B61" s="2"/>
      <x:c r="C61" s="2"/>
      <x:c r="D61" s="3"/>
      <x:c r="E61" s="3"/>
      <x:c r="F61" s="3"/>
      <x:c r="G61" s="3"/>
      <x:c r="H61" s="3"/>
      <x:c r="I61" s="3"/>
      <x:c r="J61" s="3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21" customHeight="1">
      <x:c r="A62" s="2"/>
      <x:c r="B62" s="2"/>
      <x:c r="C62" s="2"/>
      <x:c r="D62" s="3"/>
      <x:c r="E62" s="3"/>
      <x:c r="F62" s="3"/>
      <x:c r="G62" s="3"/>
      <x:c r="H62" s="3"/>
      <x:c r="I62" s="3"/>
      <x:c r="J62" s="3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21" customHeight="1">
      <x:c r="A63" s="2"/>
      <x:c r="B63" s="2"/>
      <x:c r="C63" s="2"/>
      <x:c r="D63" s="3"/>
      <x:c r="E63" s="3"/>
      <x:c r="F63" s="3"/>
      <x:c r="G63" s="3"/>
      <x:c r="H63" s="3"/>
      <x:c r="I63" s="3"/>
      <x:c r="J63" s="3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21" customHeight="1">
      <x:c r="A64" s="2"/>
      <x:c r="B64" s="2"/>
      <x:c r="C64" s="2"/>
      <x:c r="D64" s="3"/>
      <x:c r="E64" s="3"/>
      <x:c r="F64" s="3"/>
      <x:c r="G64" s="3"/>
      <x:c r="H64" s="3"/>
      <x:c r="I64" s="3"/>
      <x:c r="J64" s="3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21" customHeight="1">
      <x:c r="A65" s="2"/>
      <x:c r="B65" s="2"/>
      <x:c r="C65" s="2"/>
      <x:c r="D65" s="3"/>
      <x:c r="E65" s="3"/>
      <x:c r="F65" s="3"/>
      <x:c r="G65" s="3"/>
      <x:c r="H65" s="3"/>
      <x:c r="I65" s="3"/>
      <x:c r="J65" s="3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21" customHeight="1">
      <x:c r="A66" s="2"/>
      <x:c r="B66" s="2"/>
      <x:c r="C66" s="2"/>
      <x:c r="D66" s="3"/>
      <x:c r="E66" s="3"/>
      <x:c r="F66" s="3"/>
      <x:c r="G66" s="3"/>
      <x:c r="H66" s="3"/>
      <x:c r="I66" s="3"/>
      <x:c r="J66" s="3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21" customHeight="1">
      <x:c r="A67" s="2"/>
      <x:c r="B67" s="2"/>
      <x:c r="C67" s="2"/>
      <x:c r="D67" s="3"/>
      <x:c r="E67" s="3"/>
      <x:c r="F67" s="3"/>
      <x:c r="G67" s="3"/>
      <x:c r="H67" s="3"/>
      <x:c r="I67" s="3"/>
      <x:c r="J67" s="3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21" customHeight="1">
      <x:c r="A68" s="2"/>
      <x:c r="B68" s="2"/>
      <x:c r="C68" s="2"/>
      <x:c r="D68" s="3"/>
      <x:c r="E68" s="3"/>
      <x:c r="F68" s="3"/>
      <x:c r="G68" s="3"/>
      <x:c r="H68" s="3"/>
      <x:c r="I68" s="3"/>
      <x:c r="J68" s="3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21" customHeight="1">
      <x:c r="A69" s="2"/>
      <x:c r="B69" s="2"/>
      <x:c r="C69" s="2"/>
      <x:c r="D69" s="3"/>
      <x:c r="E69" s="3"/>
      <x:c r="F69" s="3"/>
      <x:c r="G69" s="3"/>
      <x:c r="H69" s="3"/>
      <x:c r="I69" s="3"/>
      <x:c r="J69" s="3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21" customHeight="1">
      <x:c r="A70" s="2"/>
      <x:c r="B70" s="2"/>
      <x:c r="C70" s="2"/>
      <x:c r="D70" s="3"/>
      <x:c r="E70" s="3"/>
      <x:c r="F70" s="3"/>
      <x:c r="G70" s="3"/>
      <x:c r="H70" s="3"/>
      <x:c r="I70" s="3"/>
      <x:c r="J70" s="3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21" customHeight="1">
      <x:c r="A71" s="2"/>
      <x:c r="B71" s="2"/>
      <x:c r="C71" s="2"/>
      <x:c r="D71" s="3"/>
      <x:c r="E71" s="3"/>
      <x:c r="F71" s="3"/>
      <x:c r="G71" s="3"/>
      <x:c r="H71" s="3"/>
      <x:c r="I71" s="3"/>
      <x:c r="J71" s="3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21" customHeight="1">
      <x:c r="A72" s="2"/>
      <x:c r="B72" s="2"/>
      <x:c r="C72" s="2"/>
      <x:c r="D72" s="3"/>
      <x:c r="E72" s="3"/>
      <x:c r="F72" s="3"/>
      <x:c r="G72" s="3"/>
      <x:c r="H72" s="3"/>
      <x:c r="I72" s="3"/>
      <x:c r="J72" s="3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21" customHeight="1">
      <x:c r="A73" s="2"/>
      <x:c r="B73" s="2"/>
      <x:c r="C73" s="2"/>
      <x:c r="D73" s="3"/>
      <x:c r="E73" s="3"/>
      <x:c r="F73" s="3"/>
      <x:c r="G73" s="3"/>
      <x:c r="H73" s="3"/>
      <x:c r="I73" s="3"/>
      <x:c r="J73" s="3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21" customHeight="1">
      <x:c r="A74" s="2"/>
      <x:c r="B74" s="2"/>
      <x:c r="C74" s="2"/>
      <x:c r="D74" s="3"/>
      <x:c r="E74" s="3"/>
      <x:c r="F74" s="3"/>
      <x:c r="G74" s="3"/>
      <x:c r="H74" s="3"/>
      <x:c r="I74" s="3"/>
      <x:c r="J74" s="3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21" customHeight="1">
      <x:c r="A75" s="2"/>
      <x:c r="B75" s="2"/>
      <x:c r="C75" s="2"/>
      <x:c r="D75" s="3"/>
      <x:c r="E75" s="3"/>
      <x:c r="F75" s="3"/>
      <x:c r="G75" s="3"/>
      <x:c r="H75" s="3"/>
      <x:c r="I75" s="3"/>
      <x:c r="J75" s="3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21" customHeight="1">
      <x:c r="A76" s="2"/>
      <x:c r="B76" s="2"/>
      <x:c r="C76" s="2"/>
      <x:c r="D76" s="3"/>
      <x:c r="E76" s="3"/>
      <x:c r="F76" s="3"/>
      <x:c r="G76" s="3"/>
      <x:c r="H76" s="3"/>
      <x:c r="I76" s="3"/>
      <x:c r="J76" s="3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21" customHeight="1">
      <x:c r="A77" s="2"/>
      <x:c r="B77" s="2"/>
      <x:c r="C77" s="2"/>
      <x:c r="D77" s="3"/>
      <x:c r="E77" s="3"/>
      <x:c r="F77" s="3"/>
      <x:c r="G77" s="3"/>
      <x:c r="H77" s="3"/>
      <x:c r="I77" s="3"/>
      <x:c r="J77" s="3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21" customHeight="1">
      <x:c r="A78" s="2"/>
      <x:c r="B78" s="2"/>
      <x:c r="C78" s="2"/>
      <x:c r="D78" s="3"/>
      <x:c r="E78" s="3"/>
      <x:c r="F78" s="3"/>
      <x:c r="G78" s="3"/>
      <x:c r="H78" s="3"/>
      <x:c r="I78" s="3"/>
      <x:c r="J78" s="3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21" customHeight="1">
      <x:c r="A79" s="2"/>
      <x:c r="B79" s="2"/>
      <x:c r="C79" s="2"/>
      <x:c r="D79" s="3"/>
      <x:c r="E79" s="3"/>
      <x:c r="F79" s="3"/>
      <x:c r="G79" s="3"/>
      <x:c r="H79" s="3"/>
      <x:c r="I79" s="3"/>
      <x:c r="J79" s="3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21" customHeight="1">
      <x:c r="A80" s="2"/>
      <x:c r="B80" s="2"/>
      <x:c r="C80" s="2"/>
      <x:c r="D80" s="3"/>
      <x:c r="E80" s="3"/>
      <x:c r="F80" s="3"/>
      <x:c r="G80" s="3"/>
      <x:c r="H80" s="3"/>
      <x:c r="I80" s="3"/>
      <x:c r="J80" s="3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21" customHeight="1">
      <x:c r="A81" s="2"/>
      <x:c r="B81" s="2"/>
      <x:c r="C81" s="2"/>
      <x:c r="D81" s="3"/>
      <x:c r="E81" s="3"/>
      <x:c r="F81" s="3"/>
      <x:c r="G81" s="3"/>
      <x:c r="H81" s="3"/>
      <x:c r="I81" s="3"/>
      <x:c r="J81" s="3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21" customHeight="1">
      <x:c r="A82" s="2"/>
      <x:c r="B82" s="2"/>
      <x:c r="C82" s="2"/>
      <x:c r="D82" s="3"/>
      <x:c r="E82" s="3"/>
      <x:c r="F82" s="3"/>
      <x:c r="G82" s="3"/>
      <x:c r="H82" s="3"/>
      <x:c r="I82" s="3"/>
      <x:c r="J82" s="3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21" customHeight="1">
      <x:c r="A83" s="2"/>
      <x:c r="B83" s="2"/>
      <x:c r="C83" s="2"/>
      <x:c r="D83" s="3"/>
      <x:c r="E83" s="3"/>
      <x:c r="F83" s="3"/>
      <x:c r="G83" s="3"/>
      <x:c r="H83" s="3"/>
      <x:c r="I83" s="3"/>
      <x:c r="J83" s="3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21" customHeight="1">
      <x:c r="A84" s="2"/>
      <x:c r="B84" s="2"/>
      <x:c r="C84" s="2"/>
      <x:c r="D84" s="3"/>
      <x:c r="E84" s="3"/>
      <x:c r="F84" s="3"/>
      <x:c r="G84" s="3"/>
      <x:c r="H84" s="3"/>
      <x:c r="I84" s="3"/>
      <x:c r="J84" s="3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21" customHeight="1">
      <x:c r="A85" s="2"/>
      <x:c r="B85" s="2"/>
      <x:c r="C85" s="2"/>
      <x:c r="D85" s="3"/>
      <x:c r="E85" s="3"/>
      <x:c r="F85" s="3"/>
      <x:c r="G85" s="3"/>
      <x:c r="H85" s="3"/>
      <x:c r="I85" s="3"/>
      <x:c r="J85" s="3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21" customHeight="1">
      <x:c r="A86" s="2"/>
      <x:c r="B86" s="2"/>
      <x:c r="C86" s="2"/>
      <x:c r="D86" s="3"/>
      <x:c r="E86" s="3"/>
      <x:c r="F86" s="3"/>
      <x:c r="G86" s="3"/>
      <x:c r="H86" s="3"/>
      <x:c r="I86" s="3"/>
      <x:c r="J86" s="3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21" customHeight="1">
      <x:c r="A87" s="2"/>
      <x:c r="B87" s="2"/>
      <x:c r="C87" s="2"/>
      <x:c r="D87" s="3"/>
      <x:c r="E87" s="3"/>
      <x:c r="F87" s="3"/>
      <x:c r="G87" s="3"/>
      <x:c r="H87" s="3"/>
      <x:c r="I87" s="3"/>
      <x:c r="J87" s="3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21" customHeight="1">
      <x:c r="A88" s="2"/>
      <x:c r="B88" s="2"/>
      <x:c r="C88" s="2"/>
      <x:c r="D88" s="3"/>
      <x:c r="E88" s="3"/>
      <x:c r="F88" s="3"/>
      <x:c r="G88" s="3"/>
      <x:c r="H88" s="3"/>
      <x:c r="I88" s="3"/>
      <x:c r="J88" s="3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21" customHeight="1">
      <x:c r="A89" s="2"/>
      <x:c r="B89" s="2"/>
      <x:c r="C89" s="2"/>
      <x:c r="D89" s="3"/>
      <x:c r="E89" s="3"/>
      <x:c r="F89" s="3"/>
      <x:c r="G89" s="3"/>
      <x:c r="H89" s="3"/>
      <x:c r="I89" s="3"/>
      <x:c r="J89" s="3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21" customHeight="1">
      <x:c r="A90" s="2"/>
      <x:c r="B90" s="2"/>
      <x:c r="C90" s="2"/>
      <x:c r="D90" s="3"/>
      <x:c r="E90" s="3"/>
      <x:c r="F90" s="3"/>
      <x:c r="G90" s="3"/>
      <x:c r="H90" s="3"/>
      <x:c r="I90" s="3"/>
      <x:c r="J90" s="3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21" customHeight="1">
      <x:c r="A91" s="2"/>
      <x:c r="B91" s="2"/>
      <x:c r="C91" s="2"/>
      <x:c r="D91" s="3"/>
      <x:c r="E91" s="3"/>
      <x:c r="F91" s="3"/>
      <x:c r="G91" s="3"/>
      <x:c r="H91" s="3"/>
      <x:c r="I91" s="3"/>
      <x:c r="J91" s="3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21" customHeight="1">
      <x:c r="A92" s="2"/>
      <x:c r="B92" s="2"/>
      <x:c r="C92" s="2"/>
      <x:c r="D92" s="3"/>
      <x:c r="E92" s="3"/>
      <x:c r="F92" s="3"/>
      <x:c r="G92" s="3"/>
      <x:c r="H92" s="3"/>
      <x:c r="I92" s="3"/>
      <x:c r="J92" s="3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21" customHeight="1">
      <x:c r="A93" s="2"/>
      <x:c r="B93" s="2"/>
      <x:c r="C93" s="2"/>
      <x:c r="D93" s="3"/>
      <x:c r="E93" s="3"/>
      <x:c r="F93" s="3"/>
      <x:c r="G93" s="3"/>
      <x:c r="H93" s="3"/>
      <x:c r="I93" s="3"/>
      <x:c r="J93" s="3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21" customHeight="1">
      <x:c r="A94" s="2"/>
      <x:c r="B94" s="2"/>
      <x:c r="C94" s="2"/>
      <x:c r="D94" s="3"/>
      <x:c r="E94" s="3"/>
      <x:c r="F94" s="3"/>
      <x:c r="G94" s="3"/>
      <x:c r="H94" s="3"/>
      <x:c r="I94" s="3"/>
      <x:c r="J94" s="3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21" customHeight="1">
      <x:c r="A95" s="2"/>
      <x:c r="B95" s="2"/>
      <x:c r="C95" s="2"/>
      <x:c r="D95" s="3"/>
      <x:c r="E95" s="3"/>
      <x:c r="F95" s="3"/>
      <x:c r="G95" s="3"/>
      <x:c r="H95" s="3"/>
      <x:c r="I95" s="3"/>
      <x:c r="J95" s="3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21" customHeight="1">
      <x:c r="A96" s="2"/>
      <x:c r="B96" s="2"/>
      <x:c r="C96" s="2"/>
      <x:c r="D96" s="3"/>
      <x:c r="E96" s="3"/>
      <x:c r="F96" s="3"/>
      <x:c r="G96" s="3"/>
      <x:c r="H96" s="3"/>
      <x:c r="I96" s="3"/>
      <x:c r="J96" s="3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21" customHeight="1">
      <x:c r="A97" s="2"/>
      <x:c r="B97" s="2"/>
      <x:c r="C97" s="2"/>
      <x:c r="D97" s="3"/>
      <x:c r="E97" s="3"/>
      <x:c r="F97" s="3"/>
      <x:c r="G97" s="3"/>
      <x:c r="H97" s="3"/>
      <x:c r="I97" s="3"/>
      <x:c r="J97" s="3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21" customHeight="1">
      <x:c r="A98" s="2"/>
      <x:c r="B98" s="2"/>
      <x:c r="C98" s="2"/>
      <x:c r="D98" s="3"/>
      <x:c r="E98" s="3"/>
      <x:c r="F98" s="3"/>
      <x:c r="G98" s="3"/>
      <x:c r="H98" s="3"/>
      <x:c r="I98" s="3"/>
      <x:c r="J98" s="3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21" customHeight="1">
      <x:c r="A99" s="2"/>
      <x:c r="B99" s="2"/>
      <x:c r="C99" s="2"/>
      <x:c r="D99" s="3"/>
      <x:c r="E99" s="3"/>
      <x:c r="F99" s="3"/>
      <x:c r="G99" s="3"/>
      <x:c r="H99" s="3"/>
      <x:c r="I99" s="3"/>
      <x:c r="J99" s="3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21" customHeight="1">
      <x:c r="A100" s="2"/>
      <x:c r="B100" s="2"/>
      <x:c r="C100" s="2"/>
      <x:c r="D100" s="3"/>
      <x:c r="E100" s="3"/>
      <x:c r="F100" s="3"/>
      <x:c r="G100" s="3"/>
      <x:c r="H100" s="3"/>
      <x:c r="I100" s="3"/>
      <x:c r="J100" s="3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21" customHeight="1">
      <x:c r="A101" s="2"/>
      <x:c r="B101" s="2"/>
      <x:c r="C101" s="2"/>
      <x:c r="D101" s="3"/>
      <x:c r="E101" s="3"/>
      <x:c r="F101" s="3"/>
      <x:c r="G101" s="3"/>
      <x:c r="H101" s="3"/>
      <x:c r="I101" s="3"/>
      <x:c r="J101" s="3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21" customHeight="1">
      <x:c r="A102" s="2"/>
      <x:c r="B102" s="2"/>
      <x:c r="C102" s="2"/>
      <x:c r="D102" s="3"/>
      <x:c r="E102" s="3"/>
      <x:c r="F102" s="3"/>
      <x:c r="G102" s="3"/>
      <x:c r="H102" s="3"/>
      <x:c r="I102" s="3"/>
      <x:c r="J102" s="3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21" customHeight="1">
      <x:c r="A103" s="2"/>
      <x:c r="B103" s="2"/>
      <x:c r="C103" s="2"/>
      <x:c r="D103" s="3"/>
      <x:c r="E103" s="3"/>
      <x:c r="F103" s="3"/>
      <x:c r="G103" s="3"/>
      <x:c r="H103" s="3"/>
      <x:c r="I103" s="3"/>
      <x:c r="J103" s="3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21" customHeight="1">
      <x:c r="A104" s="2"/>
      <x:c r="B104" s="2"/>
      <x:c r="C104" s="2"/>
      <x:c r="D104" s="3"/>
      <x:c r="E104" s="3"/>
      <x:c r="F104" s="3"/>
      <x:c r="G104" s="3"/>
      <x:c r="H104" s="3"/>
      <x:c r="I104" s="3"/>
      <x:c r="J104" s="3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21" customHeight="1">
      <x:c r="A105" s="2"/>
      <x:c r="B105" s="2"/>
      <x:c r="C105" s="2"/>
      <x:c r="D105" s="3"/>
      <x:c r="E105" s="3"/>
      <x:c r="F105" s="3"/>
      <x:c r="G105" s="3"/>
      <x:c r="H105" s="3"/>
      <x:c r="I105" s="3"/>
      <x:c r="J105" s="3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21" customHeight="1">
      <x:c r="A106" s="2"/>
      <x:c r="B106" s="2"/>
      <x:c r="C106" s="2"/>
      <x:c r="D106" s="3"/>
      <x:c r="E106" s="3"/>
      <x:c r="F106" s="3"/>
      <x:c r="G106" s="3"/>
      <x:c r="H106" s="3"/>
      <x:c r="I106" s="3"/>
      <x:c r="J106" s="3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21" customHeight="1">
      <x:c r="A107" s="2"/>
      <x:c r="B107" s="2"/>
      <x:c r="C107" s="2"/>
      <x:c r="D107" s="3"/>
      <x:c r="E107" s="3"/>
      <x:c r="F107" s="3"/>
      <x:c r="G107" s="3"/>
      <x:c r="H107" s="3"/>
      <x:c r="I107" s="3"/>
      <x:c r="J107" s="3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21" customHeight="1">
      <x:c r="A108" s="2"/>
      <x:c r="B108" s="2"/>
      <x:c r="C108" s="2"/>
      <x:c r="D108" s="3"/>
      <x:c r="E108" s="3"/>
      <x:c r="F108" s="3"/>
      <x:c r="G108" s="3"/>
      <x:c r="H108" s="3"/>
      <x:c r="I108" s="3"/>
      <x:c r="J108" s="3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21" customHeight="1">
      <x:c r="A109" s="2"/>
      <x:c r="B109" s="2"/>
      <x:c r="C109" s="2"/>
      <x:c r="D109" s="3"/>
      <x:c r="E109" s="3"/>
      <x:c r="F109" s="3"/>
      <x:c r="G109" s="3"/>
      <x:c r="H109" s="3"/>
      <x:c r="I109" s="3"/>
      <x:c r="J109" s="3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21" customHeight="1">
      <x:c r="A110" s="2"/>
      <x:c r="B110" s="2"/>
      <x:c r="C110" s="2"/>
      <x:c r="D110" s="3"/>
      <x:c r="E110" s="3"/>
      <x:c r="F110" s="3"/>
      <x:c r="G110" s="3"/>
      <x:c r="H110" s="3"/>
      <x:c r="I110" s="3"/>
      <x:c r="J110" s="3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</x:sheetData>
  <x:conditionalFormatting sqref="D38:BK38">
    <x:cfRule type="cellIs" dxfId="1" priority="1" operator="lessThan">
      <x:formula>0</x:formula>
    </x:cfRule>
  </x:conditionalFormatting>
  <x:pageMargins left="0.7" right="0.7" top="0.75" bottom="0.75" header="0.3" footer="0.3"/>
</x:worksheet>
</file>